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'cashflow'!$G$15:$G$17</definedName>
    <definedName name="_xlnm.Print_Area" localSheetId="7">'cashflow'!$B$1:$K$78</definedName>
    <definedName name="_xlnm.Print_Area" localSheetId="3">'equity statement'!$A$1:$H$36</definedName>
    <definedName name="_xlnm.Print_Area" localSheetId="0">'Income statement'!$A$1:$M$65</definedName>
  </definedNames>
  <calcPr fullCalcOnLoad="1"/>
</workbook>
</file>

<file path=xl/sharedStrings.xml><?xml version="1.0" encoding="utf-8"?>
<sst xmlns="http://schemas.openxmlformats.org/spreadsheetml/2006/main" count="421" uniqueCount="268">
  <si>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</si>
  <si>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</si>
  <si>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</si>
  <si>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</si>
  <si>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</si>
  <si>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</si>
  <si>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</si>
  <si>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</si>
  <si>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</si>
  <si>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</si>
  <si>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</si>
  <si>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</si>
  <si>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</si>
  <si>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</si>
  <si>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</si>
  <si>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</si>
  <si>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</si>
  <si>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</si>
  <si>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</si>
  <si>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</si>
  <si>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</si>
  <si>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</si>
  <si>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</si>
  <si>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</si>
  <si>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</si>
  <si>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</si>
  <si>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</si>
  <si>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</si>
  <si>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</si>
  <si>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</si>
  <si>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</si>
  <si>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</si>
  <si>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</si>
  <si>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</si>
  <si>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</si>
  <si>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</si>
  <si>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</si>
  <si>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</si>
  <si>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</si>
  <si>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</si>
  <si>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</si>
  <si>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</si>
  <si>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</si>
  <si>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</si>
  <si>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</si>
  <si>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</si>
  <si>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</si>
  <si>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</si>
  <si>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</si>
  <si>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</si>
  <si>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</si>
  <si>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</si>
  <si>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</si>
  <si>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</si>
  <si>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</si>
  <si>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</si>
  <si>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</si>
  <si>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</si>
  <si>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</si>
  <si>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</si>
  <si>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</si>
  <si>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</si>
  <si>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</si>
  <si>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</si>
  <si>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</si>
  <si>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</si>
  <si>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</si>
  <si>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</si>
  <si>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</si>
  <si>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</si>
  <si>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</si>
  <si>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</si>
  <si>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</si>
  <si>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</si>
  <si>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</si>
  <si>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</si>
  <si>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</si>
  <si>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</si>
  <si>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</si>
  <si>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</si>
  <si>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</si>
  <si>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</si>
  <si>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</si>
  <si>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</si>
  <si>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</si>
  <si>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</si>
  <si>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</si>
  <si>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</si>
  <si>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</si>
  <si>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</si>
  <si>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</si>
  <si>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</si>
  <si>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</si>
  <si>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</si>
  <si>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</si>
  <si>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</si>
  <si>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</si>
  <si>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</si>
  <si>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</si>
  <si>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</si>
  <si>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</si>
  <si>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</si>
  <si>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</si>
  <si>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</si>
  <si>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</si>
  <si>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</si>
  <si>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</si>
  <si>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</si>
  <si>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</si>
  <si>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</si>
  <si>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</si>
  <si>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</si>
  <si>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</si>
  <si>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</si>
  <si>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</si>
  <si>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</si>
  <si>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</si>
  <si>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</si>
  <si>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</si>
  <si>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</si>
  <si>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</si>
  <si>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</si>
  <si>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</si>
  <si>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</si>
  <si>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</si>
  <si>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</si>
  <si>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</si>
  <si>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</si>
  <si>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</si>
  <si>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</si>
  <si>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</si>
  <si>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</si>
  <si>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</si>
  <si>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</si>
  <si>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</si>
  <si>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</si>
  <si>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</si>
  <si>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</si>
  <si>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</si>
  <si>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</si>
  <si>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</si>
  <si>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</si>
  <si>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</si>
  <si>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</si>
  <si>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</si>
  <si>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</si>
  <si>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</si>
  <si>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</si>
  <si>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</si>
  <si>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</si>
  <si>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</si>
  <si>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</si>
  <si>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</si>
  <si>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</si>
  <si>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</si>
  <si>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r>
      <t>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</si>
  <si>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</si>
  <si>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</si>
  <si>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</si>
  <si>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</si>
  <si>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</si>
  <si>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</si>
  <si>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</si>
  <si>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</si>
  <si>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</si>
  <si>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</si>
  <si>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</si>
  <si>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</si>
  <si>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</si>
  <si>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</si>
  <si>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</si>
  <si>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</si>
  <si>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</si>
  <si>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</si>
  <si>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</si>
  <si>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</si>
  <si>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</si>
  <si>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</si>
  <si>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</si>
  <si>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</si>
  <si>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</si>
  <si>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</si>
  <si>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</si>
  <si>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</si>
  <si>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</si>
  <si>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</si>
  <si>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</si>
  <si>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</si>
  <si>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</si>
  <si>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</si>
  <si>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</si>
  <si>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</si>
  <si>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</si>
  <si>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</si>
  <si>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</si>
  <si>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</si>
  <si>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</si>
  <si>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</si>
  <si>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</si>
  <si>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</si>
  <si>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</si>
  <si>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</si>
  <si>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</si>
  <si>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</si>
  <si>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</si>
  <si>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</si>
  <si>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</si>
  <si>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</si>
  <si>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</si>
  <si>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</si>
  <si>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</si>
  <si>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</si>
  <si>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</si>
  <si>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</si>
  <si>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</si>
  <si>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</si>
  <si>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</si>
  <si>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</si>
  <si>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</si>
  <si>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</si>
  <si>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</si>
  <si>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</si>
  <si>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</si>
  <si>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</si>
  <si>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</si>
  <si>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</si>
  <si>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</si>
  <si>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</si>
  <si>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</si>
  <si>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</si>
  <si>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</si>
  <si>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</si>
  <si>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</si>
  <si>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</si>
  <si>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</si>
  <si>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</si>
  <si>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</si>
  <si>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31 December 2010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</si>
  <si>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</si>
  <si>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</si>
  <si>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</si>
  <si>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</si>
  <si>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</si>
  <si>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from contract customers</t>
  </si>
  <si>
    <t>Amount due to contract customers</t>
  </si>
  <si>
    <t xml:space="preserve"> for the financial year ended 31 December 2010 and the accompanying notes attached to this interim financial report.</t>
  </si>
  <si>
    <t>Balance as at 1 Jan 2011</t>
  </si>
  <si>
    <t>Total comprehensive income for the year</t>
  </si>
  <si>
    <t>statements for the financial year ended 31 December 2010 and the accompanying notes attached to this interim financial report.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</si>
  <si>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</si>
  <si>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</si>
  <si>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</si>
  <si>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</si>
  <si>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Proceeds from Rights Issue</t>
  </si>
  <si>
    <t>FOR THE SECOND QUARTER ENDED 30 JUNE 2011</t>
  </si>
  <si>
    <t>30 June 2011</t>
  </si>
  <si>
    <t>30 June 2010</t>
  </si>
  <si>
    <t>AS AT 30 JUNE 2011</t>
  </si>
  <si>
    <t>Balance as at 30 June 2011</t>
  </si>
  <si>
    <t>FOR THE FINANCIAL YEAR ENDED 30 JUNE 2011</t>
  </si>
  <si>
    <t>Period Ended                             30 June 2011</t>
  </si>
  <si>
    <t>Preceding year Corresponding                Period                                         30 June 2010</t>
  </si>
  <si>
    <t>31 March 2011</t>
  </si>
  <si>
    <t>31 March 2010</t>
  </si>
  <si>
    <t>Capitalization of Bonus Issue</t>
  </si>
  <si>
    <t>New Rights Issue</t>
  </si>
  <si>
    <t>Repayment of medium term notes</t>
  </si>
  <si>
    <t>divided  by the number of ordinary shares in issue as at Balance Sheet date.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</si>
</sst>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d/mmm/yyyy;@"/>
    <numFmt numFmtId="198" formatCode="[$-409]h:mm:ss\ AM/PM"/>
    <numFmt numFmtId="199" formatCode="#,##0;[Red]#,##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42" applyNumberFormat="1" applyFont="1" applyAlignment="1">
      <alignment/>
    </xf>
    <xf numFmtId="16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66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0" applyFont="1" applyAlignment="1">
      <alignment/>
    </xf>
    <xf numFmtId="0" fontId="52" fillId="0" borderId="0" xfId="57">
      <alignment/>
      <protection/>
    </xf>
    <xf numFmtId="0" fontId="79" fillId="0" borderId="0" xfId="57" applyFont="1">
      <alignment/>
      <protection/>
    </xf>
    <xf numFmtId="0" fontId="79" fillId="0" borderId="0" xfId="57" applyFont="1" applyAlignment="1">
      <alignment horizontal="right" vertical="top" wrapText="1"/>
      <protection/>
    </xf>
    <xf numFmtId="0" fontId="77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wrapText="1"/>
      <protection/>
    </xf>
    <xf numFmtId="0" fontId="77" fillId="0" borderId="0" xfId="57" applyFont="1">
      <alignment/>
      <protection/>
    </xf>
    <xf numFmtId="0" fontId="79" fillId="0" borderId="0" xfId="57" applyFont="1" applyAlignment="1">
      <alignment vertical="top" wrapText="1"/>
      <protection/>
    </xf>
    <xf numFmtId="0" fontId="77" fillId="0" borderId="0" xfId="57" applyFont="1" applyAlignment="1">
      <alignment vertical="top" wrapText="1"/>
      <protection/>
    </xf>
    <xf numFmtId="3" fontId="77" fillId="0" borderId="0" xfId="57" applyNumberFormat="1" applyFont="1" applyAlignment="1">
      <alignment horizontal="right" vertical="top" wrapText="1"/>
      <protection/>
    </xf>
    <xf numFmtId="3" fontId="77" fillId="0" borderId="10" xfId="57" applyNumberFormat="1" applyFont="1" applyBorder="1" applyAlignment="1">
      <alignment horizontal="right" vertical="top" wrapText="1"/>
      <protection/>
    </xf>
    <xf numFmtId="3" fontId="77" fillId="0" borderId="12" xfId="57" applyNumberFormat="1" applyFont="1" applyBorder="1" applyAlignment="1">
      <alignment horizontal="right" vertical="top" wrapText="1"/>
      <protection/>
    </xf>
    <xf numFmtId="0" fontId="80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6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vertical="top" wrapText="1"/>
    </xf>
    <xf numFmtId="166" fontId="5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9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6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5" fillId="0" borderId="0" xfId="42" applyNumberFormat="1" applyFont="1" applyFill="1" applyAlignment="1">
      <alignment horizontal="right" vertical="top" wrapText="1"/>
    </xf>
    <xf numFmtId="166" fontId="5" fillId="0" borderId="11" xfId="42" applyNumberFormat="1" applyFont="1" applyFill="1" applyBorder="1" applyAlignment="1">
      <alignment horizontal="right" vertical="top" wrapText="1"/>
    </xf>
    <xf numFmtId="166" fontId="4" fillId="0" borderId="0" xfId="42" applyNumberFormat="1" applyFont="1" applyFill="1" applyAlignment="1">
      <alignment horizontal="right" vertical="top" wrapText="1"/>
    </xf>
    <xf numFmtId="166" fontId="5" fillId="0" borderId="1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horizontal="right" vertical="top" wrapText="1"/>
    </xf>
    <xf numFmtId="166" fontId="5" fillId="0" borderId="0" xfId="42" applyNumberFormat="1" applyFont="1" applyFill="1" applyAlignment="1">
      <alignment/>
    </xf>
    <xf numFmtId="166" fontId="5" fillId="0" borderId="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vertical="top" wrapText="1"/>
    </xf>
    <xf numFmtId="166" fontId="4" fillId="0" borderId="12" xfId="42" applyNumberFormat="1" applyFont="1" applyFill="1" applyBorder="1" applyAlignment="1">
      <alignment horizontal="right" vertical="top" wrapText="1"/>
    </xf>
    <xf numFmtId="166" fontId="5" fillId="0" borderId="10" xfId="42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41" fontId="5" fillId="0" borderId="0" xfId="42" applyNumberFormat="1" applyFont="1" applyBorder="1" applyAlignment="1">
      <alignment horizontal="right"/>
    </xf>
    <xf numFmtId="166" fontId="81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41" fontId="14" fillId="0" borderId="10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199" fontId="5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42" applyNumberFormat="1" applyFont="1" applyBorder="1" applyAlignment="1">
      <alignment horizontal="right"/>
    </xf>
    <xf numFmtId="166" fontId="5" fillId="0" borderId="13" xfId="42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Mar%2011\HRB%20Consol%20%2003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1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June%2011\HRB%20Consol%20%2006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2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June%2011\HRB%20perf06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8">
          <cell r="Q8">
            <v>16439.149960000002</v>
          </cell>
        </row>
        <row r="13">
          <cell r="Q13">
            <v>-9507.23023</v>
          </cell>
        </row>
        <row r="16">
          <cell r="Q16">
            <v>431.12114</v>
          </cell>
        </row>
        <row r="18">
          <cell r="Q18">
            <v>-3932.2308800000005</v>
          </cell>
        </row>
        <row r="19">
          <cell r="Q19">
            <v>-787.9263100000001</v>
          </cell>
        </row>
        <row r="20">
          <cell r="Q20">
            <v>-1027.3924200000001</v>
          </cell>
        </row>
        <row r="25">
          <cell r="Q25">
            <v>-405.10801000000004</v>
          </cell>
        </row>
        <row r="27">
          <cell r="Q27">
            <v>-206.28323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67">
          <cell r="U67">
            <v>0</v>
          </cell>
        </row>
        <row r="76">
          <cell r="U76">
            <v>20570.722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Q12">
            <v>38383.76977</v>
          </cell>
        </row>
        <row r="13">
          <cell r="Q13">
            <v>-20998.088499999998</v>
          </cell>
        </row>
        <row r="16">
          <cell r="Q16">
            <v>730.63436</v>
          </cell>
        </row>
        <row r="18">
          <cell r="Q18">
            <v>-7902.90898</v>
          </cell>
        </row>
        <row r="19">
          <cell r="Q19">
            <v>-1882.70001</v>
          </cell>
        </row>
        <row r="20">
          <cell r="Q20">
            <v>-2040.6771500000002</v>
          </cell>
        </row>
        <row r="25">
          <cell r="Q25">
            <v>-969.79204</v>
          </cell>
        </row>
        <row r="27">
          <cell r="Q27">
            <v>-1278.4492299999997</v>
          </cell>
        </row>
        <row r="29">
          <cell r="Q29">
            <v>6.715400000000001</v>
          </cell>
        </row>
        <row r="67">
          <cell r="Q67">
            <v>40907.59534</v>
          </cell>
        </row>
        <row r="74">
          <cell r="Q74">
            <v>373.96898999999996</v>
          </cell>
        </row>
        <row r="78">
          <cell r="Q78">
            <v>6384.78639</v>
          </cell>
        </row>
        <row r="79">
          <cell r="Q79">
            <v>2179</v>
          </cell>
        </row>
        <row r="80">
          <cell r="Q80">
            <v>20344.176449999988</v>
          </cell>
        </row>
        <row r="81">
          <cell r="Q81">
            <v>18404.853710000003</v>
          </cell>
        </row>
        <row r="82">
          <cell r="Q82">
            <v>22.708</v>
          </cell>
        </row>
        <row r="83">
          <cell r="Q83">
            <v>7589.62163</v>
          </cell>
        </row>
        <row r="84">
          <cell r="Q84">
            <v>0</v>
          </cell>
        </row>
        <row r="85">
          <cell r="Q85">
            <v>35277.19538999999</v>
          </cell>
        </row>
        <row r="86">
          <cell r="Q86">
            <v>16963.772119999998</v>
          </cell>
        </row>
        <row r="99">
          <cell r="Q99">
            <v>80000</v>
          </cell>
        </row>
        <row r="101">
          <cell r="Q101">
            <v>172.57994</v>
          </cell>
        </row>
        <row r="102">
          <cell r="Q102">
            <v>24427.966740000003</v>
          </cell>
        </row>
        <row r="105">
          <cell r="Q105">
            <v>3.2845999999999993</v>
          </cell>
        </row>
        <row r="110">
          <cell r="Q110">
            <v>128</v>
          </cell>
        </row>
        <row r="111">
          <cell r="Q111">
            <v>20965.14031</v>
          </cell>
        </row>
        <row r="112">
          <cell r="Q112">
            <v>1978.5</v>
          </cell>
        </row>
        <row r="115">
          <cell r="Q115">
            <v>0</v>
          </cell>
        </row>
        <row r="116">
          <cell r="Q116">
            <v>9750.345430000001</v>
          </cell>
        </row>
        <row r="117">
          <cell r="Q117">
            <v>1793.0130199999999</v>
          </cell>
        </row>
        <row r="118">
          <cell r="Q118">
            <v>168.11172999999997</v>
          </cell>
        </row>
        <row r="119">
          <cell r="Q119">
            <v>11106.091030000003</v>
          </cell>
        </row>
        <row r="120">
          <cell r="Q120">
            <v>402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6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U8">
            <v>5319</v>
          </cell>
        </row>
        <row r="20">
          <cell r="V20">
            <v>2736.23467</v>
          </cell>
        </row>
        <row r="24">
          <cell r="U24">
            <v>-1190.15639</v>
          </cell>
        </row>
        <row r="25">
          <cell r="U25">
            <v>-6232.5574499999875</v>
          </cell>
        </row>
        <row r="26">
          <cell r="U26">
            <v>10526.804289999998</v>
          </cell>
        </row>
        <row r="27">
          <cell r="U27">
            <v>33.22600000000011</v>
          </cell>
        </row>
        <row r="28">
          <cell r="U28">
            <v>-3656.1026299999994</v>
          </cell>
        </row>
        <row r="32">
          <cell r="U32">
            <v>-843.0265699999983</v>
          </cell>
        </row>
        <row r="33">
          <cell r="U33">
            <v>-3256.989</v>
          </cell>
        </row>
        <row r="34">
          <cell r="U34">
            <v>-1231.77698</v>
          </cell>
        </row>
        <row r="39">
          <cell r="U39">
            <v>2203.6559400000133</v>
          </cell>
        </row>
        <row r="41">
          <cell r="U41">
            <v>-137.13302</v>
          </cell>
        </row>
        <row r="42">
          <cell r="U42">
            <v>-861.81089</v>
          </cell>
        </row>
        <row r="43">
          <cell r="U43">
            <v>-1791.665</v>
          </cell>
        </row>
        <row r="49">
          <cell r="U49">
            <v>125.42011</v>
          </cell>
        </row>
        <row r="53">
          <cell r="U53">
            <v>-325.42025999999976</v>
          </cell>
        </row>
        <row r="54">
          <cell r="U54">
            <v>-13678.43238</v>
          </cell>
        </row>
        <row r="60">
          <cell r="U60">
            <v>2311</v>
          </cell>
        </row>
        <row r="61">
          <cell r="U61">
            <v>-8.64101</v>
          </cell>
        </row>
        <row r="62">
          <cell r="U62">
            <v>-577.21777</v>
          </cell>
        </row>
        <row r="63">
          <cell r="U63">
            <v>-49.67727000000002</v>
          </cell>
        </row>
        <row r="64">
          <cell r="U64">
            <v>-2699.156690000001</v>
          </cell>
        </row>
        <row r="69">
          <cell r="U69">
            <v>0</v>
          </cell>
        </row>
        <row r="83">
          <cell r="U83">
            <v>23145</v>
          </cell>
        </row>
        <row r="84">
          <cell r="U84">
            <v>12132.335</v>
          </cell>
        </row>
        <row r="85">
          <cell r="U85">
            <v>16964.58162</v>
          </cell>
        </row>
        <row r="86">
          <cell r="U86">
            <v>-3555.0910299999996</v>
          </cell>
        </row>
        <row r="88">
          <cell r="U88">
            <v>-12132.335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0611"/>
      <sheetName val="IPO.June11."/>
      <sheetName val="IPO .det.06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June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3"/>
      <sheetName val="IPO 150811"/>
      <sheetName val="IPO det 150811"/>
    </sheetNames>
    <sheetDataSet>
      <sheetData sheetId="27">
        <row r="46">
          <cell r="O46">
            <v>122486187.84530386</v>
          </cell>
        </row>
        <row r="68">
          <cell r="O68">
            <v>154615384.6153846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pane xSplit="2" ySplit="13" topLeftCell="C3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22" sqref="G22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4.140625" style="0" hidden="1" customWidth="1"/>
    <col min="4" max="5" width="20.7109375" style="0" hidden="1" customWidth="1"/>
    <col min="6" max="6" width="3.140625" style="0" customWidth="1"/>
    <col min="7" max="8" width="20.7109375" style="0" customWidth="1"/>
    <col min="9" max="9" width="3.7109375" style="0" customWidth="1"/>
    <col min="10" max="11" width="22.140625" style="0" customWidth="1"/>
    <col min="12" max="12" width="4.140625" style="0" customWidth="1"/>
    <col min="13" max="13" width="16.57421875" style="0" customWidth="1"/>
    <col min="14" max="14" width="5.8515625" style="0" hidden="1" customWidth="1"/>
    <col min="15" max="15" width="5.7109375" style="0" hidden="1" customWidth="1"/>
    <col min="16" max="16" width="17.28125" style="0" hidden="1" customWidth="1"/>
    <col min="17" max="19" width="9.140625" style="0" hidden="1" customWidth="1"/>
    <col min="20" max="22" width="0" style="0" hidden="1" customWidth="1"/>
  </cols>
  <sheetData>
    <row r="1" ht="20.25">
      <c r="B1" s="6" t="s">
        <v>123</v>
      </c>
    </row>
    <row r="2" ht="12.75">
      <c r="B2" s="2"/>
    </row>
    <row r="3" s="51" customFormat="1" ht="15">
      <c r="B3" s="16" t="s">
        <v>219</v>
      </c>
    </row>
    <row r="4" spans="2:12" s="51" customFormat="1" ht="15">
      <c r="B4" s="16" t="s">
        <v>254</v>
      </c>
      <c r="L4" s="85"/>
    </row>
    <row r="5" spans="2:12" s="51" customFormat="1" ht="15">
      <c r="B5" s="86"/>
      <c r="L5" s="85"/>
    </row>
    <row r="6" spans="2:12" s="51" customFormat="1" ht="21" thickBot="1">
      <c r="B6" s="16"/>
      <c r="E6" s="180"/>
      <c r="F6" s="180"/>
      <c r="G6" s="180"/>
      <c r="H6" s="180"/>
      <c r="J6" s="122"/>
      <c r="K6" s="180"/>
      <c r="L6" s="85"/>
    </row>
    <row r="7" spans="3:12" s="51" customFormat="1" ht="15.75" thickBot="1">
      <c r="C7" s="172"/>
      <c r="D7" s="229" t="s">
        <v>85</v>
      </c>
      <c r="E7" s="230"/>
      <c r="F7" s="172"/>
      <c r="G7" s="229" t="s">
        <v>85</v>
      </c>
      <c r="H7" s="230"/>
      <c r="J7" s="229" t="s">
        <v>125</v>
      </c>
      <c r="K7" s="230"/>
      <c r="L7" s="60"/>
    </row>
    <row r="8" spans="3:12" s="51" customFormat="1" ht="12.75" customHeight="1">
      <c r="C8" s="56"/>
      <c r="D8" s="226" t="s">
        <v>139</v>
      </c>
      <c r="E8" s="226" t="s">
        <v>155</v>
      </c>
      <c r="F8" s="56"/>
      <c r="G8" s="226" t="s">
        <v>139</v>
      </c>
      <c r="H8" s="226" t="s">
        <v>234</v>
      </c>
      <c r="I8" s="55"/>
      <c r="J8" s="226" t="s">
        <v>238</v>
      </c>
      <c r="K8" s="226" t="s">
        <v>233</v>
      </c>
      <c r="L8" s="60"/>
    </row>
    <row r="9" spans="3:12" s="51" customFormat="1" ht="15">
      <c r="C9" s="56"/>
      <c r="D9" s="227"/>
      <c r="E9" s="227"/>
      <c r="G9" s="227"/>
      <c r="H9" s="228"/>
      <c r="I9" s="55"/>
      <c r="J9" s="227"/>
      <c r="K9" s="228"/>
      <c r="L9" s="60"/>
    </row>
    <row r="10" spans="3:12" s="51" customFormat="1" ht="15">
      <c r="C10" s="56"/>
      <c r="D10" s="227"/>
      <c r="E10" s="227"/>
      <c r="G10" s="227"/>
      <c r="H10" s="228"/>
      <c r="I10" s="55"/>
      <c r="J10" s="227"/>
      <c r="K10" s="228"/>
      <c r="L10" s="60"/>
    </row>
    <row r="11" spans="3:12" s="51" customFormat="1" ht="31.5" customHeight="1">
      <c r="C11" s="56"/>
      <c r="D11" s="227"/>
      <c r="E11" s="227"/>
      <c r="G11" s="227"/>
      <c r="H11" s="228"/>
      <c r="I11" s="55"/>
      <c r="J11" s="227"/>
      <c r="K11" s="228"/>
      <c r="L11" s="60"/>
    </row>
    <row r="12" spans="3:16" s="51" customFormat="1" ht="15">
      <c r="C12" s="57"/>
      <c r="D12" s="57" t="s">
        <v>262</v>
      </c>
      <c r="E12" s="57" t="s">
        <v>263</v>
      </c>
      <c r="F12" s="57"/>
      <c r="G12" s="57" t="s">
        <v>255</v>
      </c>
      <c r="H12" s="57" t="s">
        <v>256</v>
      </c>
      <c r="I12" s="58"/>
      <c r="J12" s="57" t="s">
        <v>255</v>
      </c>
      <c r="K12" s="57" t="s">
        <v>256</v>
      </c>
      <c r="L12" s="60"/>
      <c r="P12" s="128" t="s">
        <v>140</v>
      </c>
    </row>
    <row r="13" spans="3:16" s="51" customFormat="1" ht="15">
      <c r="C13" s="58"/>
      <c r="D13" s="58" t="s">
        <v>0</v>
      </c>
      <c r="E13" s="58" t="s">
        <v>0</v>
      </c>
      <c r="F13" s="58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60"/>
      <c r="P13" s="102" t="s">
        <v>0</v>
      </c>
    </row>
    <row r="14" spans="3:16" s="51" customFormat="1" ht="15">
      <c r="C14" s="58"/>
      <c r="D14" s="58"/>
      <c r="E14" s="58"/>
      <c r="F14" s="58"/>
      <c r="G14" s="58"/>
      <c r="H14" s="58"/>
      <c r="I14" s="58"/>
      <c r="K14" s="58"/>
      <c r="P14" s="102"/>
    </row>
    <row r="15" spans="2:16" s="51" customFormat="1" ht="15">
      <c r="B15" s="16" t="s">
        <v>1</v>
      </c>
      <c r="C15" s="59"/>
      <c r="D15" s="129">
        <f>'[5]1conso-YTD'!$Q$8</f>
        <v>16439.149960000002</v>
      </c>
      <c r="E15" s="129">
        <v>17123</v>
      </c>
      <c r="F15" s="129"/>
      <c r="G15" s="129">
        <f>J15-D15</f>
        <v>21944.619809999997</v>
      </c>
      <c r="H15" s="129">
        <f>K15-E15</f>
        <v>23561</v>
      </c>
      <c r="I15" s="59"/>
      <c r="J15" s="129">
        <f>'[7]1conso-YTD'!$Q$12</f>
        <v>38383.76977</v>
      </c>
      <c r="K15" s="129">
        <v>40684</v>
      </c>
      <c r="L15" s="60"/>
      <c r="P15" s="102">
        <v>23670.793759999993</v>
      </c>
    </row>
    <row r="16" spans="3:16" s="51" customFormat="1" ht="14.25">
      <c r="C16" s="59"/>
      <c r="D16" s="129"/>
      <c r="E16" s="129"/>
      <c r="F16" s="129"/>
      <c r="G16" s="129"/>
      <c r="H16" s="129"/>
      <c r="I16" s="59"/>
      <c r="J16" s="129"/>
      <c r="K16" s="129"/>
      <c r="L16" s="60"/>
      <c r="P16" s="102"/>
    </row>
    <row r="17" spans="2:16" s="51" customFormat="1" ht="14.25">
      <c r="B17" s="51" t="s">
        <v>31</v>
      </c>
      <c r="C17" s="59"/>
      <c r="D17" s="129">
        <f>'[5]1conso-YTD'!$Q$13</f>
        <v>-9507.23023</v>
      </c>
      <c r="E17" s="129">
        <v>-8296</v>
      </c>
      <c r="F17" s="129"/>
      <c r="G17" s="129">
        <f>J17-D17</f>
        <v>-11490.858269999999</v>
      </c>
      <c r="H17" s="129">
        <f>K17-E17</f>
        <v>-9911</v>
      </c>
      <c r="I17" s="59"/>
      <c r="J17" s="129">
        <f>'[7]1conso-YTD'!$Q$13</f>
        <v>-20998.088499999998</v>
      </c>
      <c r="K17" s="129">
        <v>-18207</v>
      </c>
      <c r="L17" s="60"/>
      <c r="P17" s="102">
        <v>-11784.867779999999</v>
      </c>
    </row>
    <row r="18" spans="2:16" s="51" customFormat="1" ht="14.25">
      <c r="B18" s="60"/>
      <c r="C18" s="171"/>
      <c r="D18" s="173"/>
      <c r="E18" s="173"/>
      <c r="F18" s="178"/>
      <c r="G18" s="173"/>
      <c r="H18" s="173"/>
      <c r="I18" s="59"/>
      <c r="J18" s="133"/>
      <c r="K18" s="173"/>
      <c r="L18" s="60"/>
      <c r="P18" s="102"/>
    </row>
    <row r="19" spans="2:18" s="51" customFormat="1" ht="15">
      <c r="B19" s="61" t="s">
        <v>32</v>
      </c>
      <c r="C19" s="59"/>
      <c r="D19" s="129">
        <f>SUM(D15:D18)</f>
        <v>6931.919730000003</v>
      </c>
      <c r="E19" s="129">
        <f>SUM(E15:E18)</f>
        <v>8827</v>
      </c>
      <c r="F19" s="129"/>
      <c r="G19" s="129">
        <f>SUM(G15:G18)</f>
        <v>10453.761539999998</v>
      </c>
      <c r="H19" s="129">
        <f>SUM(H15:H18)</f>
        <v>13650</v>
      </c>
      <c r="I19" s="59"/>
      <c r="J19" s="129">
        <f>+J15+J17</f>
        <v>17385.68127</v>
      </c>
      <c r="K19" s="221">
        <f>SUM(K15:K17)</f>
        <v>22477</v>
      </c>
      <c r="L19" s="60"/>
      <c r="N19" s="137" t="e">
        <f>#REF!/#REF!</f>
        <v>#REF!</v>
      </c>
      <c r="O19" s="137">
        <f>J19/J15</f>
        <v>0.45294355854510954</v>
      </c>
      <c r="P19" s="102">
        <v>11885.925979999995</v>
      </c>
      <c r="R19" s="61" t="s">
        <v>32</v>
      </c>
    </row>
    <row r="20" spans="3:16" s="51" customFormat="1" ht="14.25">
      <c r="C20" s="63"/>
      <c r="D20" s="132"/>
      <c r="E20" s="132"/>
      <c r="F20" s="132"/>
      <c r="G20" s="132"/>
      <c r="H20" s="132"/>
      <c r="I20" s="59"/>
      <c r="J20" s="132"/>
      <c r="K20" s="132"/>
      <c r="L20" s="60"/>
      <c r="P20" s="102"/>
    </row>
    <row r="21" spans="2:18" s="51" customFormat="1" ht="12.75" customHeight="1">
      <c r="B21" s="51" t="s">
        <v>50</v>
      </c>
      <c r="C21" s="63"/>
      <c r="D21" s="132">
        <f>'[5]1conso-YTD'!$Q$16</f>
        <v>431.12114</v>
      </c>
      <c r="E21" s="129">
        <v>263</v>
      </c>
      <c r="F21" s="129"/>
      <c r="G21" s="129">
        <f>J21-D21</f>
        <v>299.51322</v>
      </c>
      <c r="H21" s="129">
        <f>K21-E21</f>
        <v>517</v>
      </c>
      <c r="I21" s="59"/>
      <c r="J21" s="129">
        <f>'[7]1conso-YTD'!$Q$16</f>
        <v>730.63436</v>
      </c>
      <c r="K21" s="129">
        <v>780</v>
      </c>
      <c r="L21" s="87"/>
      <c r="P21" s="102">
        <v>1358.941480000004</v>
      </c>
      <c r="R21" s="51" t="s">
        <v>50</v>
      </c>
    </row>
    <row r="22" spans="3:16" s="51" customFormat="1" ht="12.75" customHeight="1">
      <c r="C22" s="63"/>
      <c r="D22" s="132"/>
      <c r="E22" s="129"/>
      <c r="F22" s="129"/>
      <c r="G22" s="132"/>
      <c r="H22" s="129"/>
      <c r="I22" s="59"/>
      <c r="J22" s="129"/>
      <c r="K22" s="129"/>
      <c r="L22" s="87"/>
      <c r="P22" s="102"/>
    </row>
    <row r="23" spans="2:18" s="51" customFormat="1" ht="12.75" customHeight="1">
      <c r="B23" s="51" t="s">
        <v>137</v>
      </c>
      <c r="C23" s="63"/>
      <c r="D23" s="132">
        <f>'[5]1conso-YTD'!$Q$18+'[5]1conso-YTD'!$Q$19</f>
        <v>-4720.157190000001</v>
      </c>
      <c r="E23" s="129">
        <v>-4126</v>
      </c>
      <c r="F23" s="129"/>
      <c r="G23" s="129">
        <f>J23-D23-1</f>
        <v>-5067.4518</v>
      </c>
      <c r="H23" s="129">
        <f>K23-E23</f>
        <v>-5965</v>
      </c>
      <c r="I23" s="59"/>
      <c r="J23" s="129">
        <f>'[7]1conso-YTD'!$Q$18+'[7]1conso-YTD'!$Q$19-1</f>
        <v>-9786.60899</v>
      </c>
      <c r="K23" s="129">
        <v>-10091</v>
      </c>
      <c r="L23" s="87"/>
      <c r="P23" s="102">
        <v>-4046.5124700000015</v>
      </c>
      <c r="R23" s="51" t="s">
        <v>137</v>
      </c>
    </row>
    <row r="24" spans="3:16" s="51" customFormat="1" ht="12.75" customHeight="1">
      <c r="C24" s="63"/>
      <c r="D24" s="132"/>
      <c r="E24" s="132"/>
      <c r="F24" s="132"/>
      <c r="G24" s="132"/>
      <c r="H24" s="132"/>
      <c r="I24" s="59"/>
      <c r="J24" s="129"/>
      <c r="K24" s="129"/>
      <c r="L24" s="87"/>
      <c r="P24" s="102"/>
    </row>
    <row r="25" spans="2:18" s="51" customFormat="1" ht="12.75" customHeight="1">
      <c r="B25" s="51" t="s">
        <v>136</v>
      </c>
      <c r="C25" s="63"/>
      <c r="D25" s="132">
        <f>'[5]1conso-YTD'!$Q$20</f>
        <v>-1027.3924200000001</v>
      </c>
      <c r="E25" s="129">
        <v>-895</v>
      </c>
      <c r="F25" s="129"/>
      <c r="G25" s="129">
        <f>J25-D25-1</f>
        <v>-1014.2847300000001</v>
      </c>
      <c r="H25" s="129">
        <f>K25-E25</f>
        <v>-858</v>
      </c>
      <c r="I25" s="59"/>
      <c r="J25" s="129">
        <f>'[7]1conso-YTD'!$Q$20</f>
        <v>-2040.6771500000002</v>
      </c>
      <c r="K25" s="129">
        <v>-1753</v>
      </c>
      <c r="L25" s="87"/>
      <c r="P25" s="102">
        <v>-681.92669</v>
      </c>
      <c r="R25" s="51" t="s">
        <v>136</v>
      </c>
    </row>
    <row r="26" spans="2:18" s="51" customFormat="1" ht="14.25">
      <c r="B26" s="64"/>
      <c r="C26" s="63"/>
      <c r="D26" s="132"/>
      <c r="E26" s="129"/>
      <c r="F26" s="129"/>
      <c r="G26" s="132"/>
      <c r="H26" s="129"/>
      <c r="I26" s="59"/>
      <c r="J26" s="129"/>
      <c r="K26" s="129"/>
      <c r="L26" s="60"/>
      <c r="P26" s="102"/>
      <c r="R26" s="64"/>
    </row>
    <row r="27" spans="2:18" s="51" customFormat="1" ht="14.25">
      <c r="B27" s="51" t="s">
        <v>51</v>
      </c>
      <c r="C27" s="63"/>
      <c r="D27" s="132">
        <f>'[5]1conso-YTD'!$Q$25</f>
        <v>-405.10801000000004</v>
      </c>
      <c r="E27" s="129">
        <v>-406</v>
      </c>
      <c r="F27" s="129"/>
      <c r="G27" s="129">
        <f>J27-D27</f>
        <v>-564.68403</v>
      </c>
      <c r="H27" s="129">
        <f>K27-E27</f>
        <v>-654</v>
      </c>
      <c r="I27" s="63"/>
      <c r="J27" s="129">
        <f>'[7]1conso-YTD'!$Q$25</f>
        <v>-969.79204</v>
      </c>
      <c r="K27" s="129">
        <v>-1060</v>
      </c>
      <c r="L27" s="60"/>
      <c r="P27" s="102">
        <v>-937.79819</v>
      </c>
      <c r="R27" s="51" t="s">
        <v>51</v>
      </c>
    </row>
    <row r="28" spans="3:16" s="51" customFormat="1" ht="14.25">
      <c r="C28" s="63"/>
      <c r="D28" s="133"/>
      <c r="E28" s="133"/>
      <c r="F28" s="132"/>
      <c r="G28" s="133"/>
      <c r="H28" s="133"/>
      <c r="I28" s="59"/>
      <c r="J28" s="133"/>
      <c r="K28" s="133"/>
      <c r="L28" s="87"/>
      <c r="P28" s="102"/>
    </row>
    <row r="29" spans="2:19" s="51" customFormat="1" ht="15">
      <c r="B29" s="16" t="s">
        <v>128</v>
      </c>
      <c r="C29" s="59"/>
      <c r="D29" s="129">
        <f>SUM(D19:D28)+1</f>
        <v>1211.3832500000026</v>
      </c>
      <c r="E29" s="129">
        <f>SUM(E19:E28)</f>
        <v>3663</v>
      </c>
      <c r="F29" s="129"/>
      <c r="G29" s="129">
        <f>SUM(G19:G28)+1</f>
        <v>4107.854199999998</v>
      </c>
      <c r="H29" s="129">
        <f>SUM(H19:H28)</f>
        <v>6690</v>
      </c>
      <c r="I29" s="59"/>
      <c r="J29" s="129">
        <f>SUM(J19:J27)</f>
        <v>5319.23745</v>
      </c>
      <c r="K29" s="129">
        <f>SUM(K19:K28)</f>
        <v>10353</v>
      </c>
      <c r="L29" s="60"/>
      <c r="N29" s="137" t="e">
        <f>#REF!/#REF!</f>
        <v>#REF!</v>
      </c>
      <c r="O29" s="137">
        <f>J29/J15</f>
        <v>0.13858038128806752</v>
      </c>
      <c r="P29" s="102">
        <v>7577.630109999996</v>
      </c>
      <c r="R29" s="16" t="s">
        <v>128</v>
      </c>
      <c r="S29" s="115"/>
    </row>
    <row r="30" spans="3:16" s="51" customFormat="1" ht="14.25">
      <c r="C30" s="59"/>
      <c r="D30" s="129"/>
      <c r="E30" s="129"/>
      <c r="F30" s="129"/>
      <c r="G30" s="129"/>
      <c r="H30" s="129"/>
      <c r="I30" s="59"/>
      <c r="J30" s="129"/>
      <c r="K30" s="129"/>
      <c r="L30" s="60"/>
      <c r="P30" s="102"/>
    </row>
    <row r="31" spans="2:18" s="51" customFormat="1" ht="14.25">
      <c r="B31" s="51" t="s">
        <v>33</v>
      </c>
      <c r="C31" s="63"/>
      <c r="D31" s="132">
        <f>'[5]1conso-YTD'!$Q$27</f>
        <v>-206.28323</v>
      </c>
      <c r="E31" s="129">
        <v>-832</v>
      </c>
      <c r="F31" s="129"/>
      <c r="G31" s="129">
        <f>J31-D31</f>
        <v>-1072.1659999999997</v>
      </c>
      <c r="H31" s="129">
        <f>K31-E31</f>
        <v>-1332</v>
      </c>
      <c r="I31" s="59"/>
      <c r="J31" s="129">
        <f>'[7]1conso-YTD'!$Q$27</f>
        <v>-1278.4492299999997</v>
      </c>
      <c r="K31" s="129">
        <v>-2164</v>
      </c>
      <c r="L31" s="60"/>
      <c r="P31" s="102">
        <v>-1821.0964013993403</v>
      </c>
      <c r="R31" s="51" t="s">
        <v>33</v>
      </c>
    </row>
    <row r="32" spans="3:16" s="51" customFormat="1" ht="14.25">
      <c r="C32" s="63"/>
      <c r="D32" s="132"/>
      <c r="E32" s="132"/>
      <c r="F32" s="132"/>
      <c r="G32" s="132"/>
      <c r="H32" s="132"/>
      <c r="I32" s="59"/>
      <c r="J32" s="133"/>
      <c r="K32" s="133"/>
      <c r="L32" s="87"/>
      <c r="P32" s="102"/>
    </row>
    <row r="33" spans="2:18" s="51" customFormat="1" ht="15.75" thickBot="1">
      <c r="B33" s="16" t="s">
        <v>129</v>
      </c>
      <c r="C33" s="63"/>
      <c r="D33" s="130">
        <f>SUM(D29:D32)</f>
        <v>1005.1000200000026</v>
      </c>
      <c r="E33" s="130">
        <f>SUM(E29:E32)</f>
        <v>2831</v>
      </c>
      <c r="F33" s="132"/>
      <c r="G33" s="130">
        <f>SUM(G29:G32)</f>
        <v>3035.6881999999982</v>
      </c>
      <c r="H33" s="130">
        <f>SUM(H29:H32)</f>
        <v>5358</v>
      </c>
      <c r="I33" s="59"/>
      <c r="J33" s="130">
        <f>SUM(J29:J32)</f>
        <v>4040.78822</v>
      </c>
      <c r="K33" s="130">
        <f>SUM(K29:K32)</f>
        <v>8189</v>
      </c>
      <c r="L33" s="60"/>
      <c r="N33" s="137" t="e">
        <f>#REF!/#REF!</f>
        <v>#REF!</v>
      </c>
      <c r="O33" s="137">
        <f>J33/J15</f>
        <v>0.10527335496781248</v>
      </c>
      <c r="P33" s="102">
        <v>5756.533708600657</v>
      </c>
      <c r="R33" s="16" t="s">
        <v>129</v>
      </c>
    </row>
    <row r="34" spans="2:18" s="51" customFormat="1" ht="15.75" thickTop="1">
      <c r="B34" s="16"/>
      <c r="C34" s="63"/>
      <c r="D34" s="132"/>
      <c r="E34" s="132"/>
      <c r="F34" s="132"/>
      <c r="G34" s="132"/>
      <c r="H34" s="132"/>
      <c r="I34" s="59"/>
      <c r="J34" s="132"/>
      <c r="K34" s="132"/>
      <c r="L34" s="60"/>
      <c r="N34" s="137"/>
      <c r="O34" s="137"/>
      <c r="P34" s="102"/>
      <c r="R34" s="16"/>
    </row>
    <row r="35" spans="2:18" s="51" customFormat="1" ht="15">
      <c r="B35" s="16" t="s">
        <v>220</v>
      </c>
      <c r="C35" s="63"/>
      <c r="D35" s="224">
        <v>0</v>
      </c>
      <c r="E35" s="224">
        <v>0</v>
      </c>
      <c r="F35" s="187"/>
      <c r="G35" s="187">
        <v>0</v>
      </c>
      <c r="H35" s="187">
        <v>0</v>
      </c>
      <c r="I35" s="188"/>
      <c r="J35" s="187">
        <v>0</v>
      </c>
      <c r="K35" s="187">
        <f>E35</f>
        <v>0</v>
      </c>
      <c r="L35" s="60"/>
      <c r="N35" s="137"/>
      <c r="O35" s="137"/>
      <c r="P35" s="102"/>
      <c r="R35" s="16"/>
    </row>
    <row r="36" spans="2:18" s="51" customFormat="1" ht="15">
      <c r="B36" s="16"/>
      <c r="C36" s="63"/>
      <c r="D36" s="224"/>
      <c r="E36" s="224"/>
      <c r="F36" s="187"/>
      <c r="G36" s="187"/>
      <c r="H36" s="187"/>
      <c r="I36" s="188"/>
      <c r="J36" s="187"/>
      <c r="K36" s="187"/>
      <c r="L36" s="60"/>
      <c r="N36" s="137"/>
      <c r="O36" s="137"/>
      <c r="P36" s="102"/>
      <c r="R36" s="16"/>
    </row>
    <row r="37" spans="2:18" s="51" customFormat="1" ht="15">
      <c r="B37" s="16" t="s">
        <v>221</v>
      </c>
      <c r="C37" s="63"/>
      <c r="D37" s="225">
        <f>SUM(D35:D36)</f>
        <v>0</v>
      </c>
      <c r="E37" s="225">
        <f>SUM(E35:E36)</f>
        <v>0</v>
      </c>
      <c r="F37" s="187"/>
      <c r="G37" s="189">
        <f>SUM(G35:G36)</f>
        <v>0</v>
      </c>
      <c r="H37" s="189">
        <f>SUM(H35:H36)</f>
        <v>0</v>
      </c>
      <c r="I37" s="188"/>
      <c r="J37" s="189">
        <f>SUM(J35:J36)</f>
        <v>0</v>
      </c>
      <c r="K37" s="189">
        <f>E37</f>
        <v>0</v>
      </c>
      <c r="L37" s="60"/>
      <c r="N37" s="137"/>
      <c r="O37" s="137"/>
      <c r="P37" s="102"/>
      <c r="R37" s="16"/>
    </row>
    <row r="38" spans="2:18" s="51" customFormat="1" ht="15">
      <c r="B38" s="16"/>
      <c r="C38" s="63"/>
      <c r="D38" s="132"/>
      <c r="E38" s="132"/>
      <c r="F38" s="132"/>
      <c r="G38" s="132"/>
      <c r="H38" s="132"/>
      <c r="I38" s="59"/>
      <c r="J38" s="132"/>
      <c r="K38" s="132"/>
      <c r="L38" s="60"/>
      <c r="N38" s="137"/>
      <c r="O38" s="137"/>
      <c r="P38" s="102"/>
      <c r="R38" s="16"/>
    </row>
    <row r="39" spans="2:18" s="51" customFormat="1" ht="15.75" thickBot="1">
      <c r="B39" s="16" t="s">
        <v>222</v>
      </c>
      <c r="C39" s="63"/>
      <c r="D39" s="134">
        <f>D33</f>
        <v>1005.1000200000026</v>
      </c>
      <c r="E39" s="134">
        <f>E33</f>
        <v>2831</v>
      </c>
      <c r="F39" s="132"/>
      <c r="G39" s="134">
        <f>G33</f>
        <v>3035.6881999999982</v>
      </c>
      <c r="H39" s="134">
        <f>H33</f>
        <v>5358</v>
      </c>
      <c r="I39" s="59"/>
      <c r="J39" s="134">
        <f>J33</f>
        <v>4040.78822</v>
      </c>
      <c r="K39" s="134">
        <f>K33</f>
        <v>8189</v>
      </c>
      <c r="L39" s="60"/>
      <c r="N39" s="137"/>
      <c r="O39" s="137"/>
      <c r="P39" s="102"/>
      <c r="R39" s="16"/>
    </row>
    <row r="40" spans="2:18" s="51" customFormat="1" ht="15.75" thickTop="1">
      <c r="B40" s="16"/>
      <c r="C40" s="63"/>
      <c r="D40" s="132"/>
      <c r="E40" s="132"/>
      <c r="F40" s="132"/>
      <c r="G40" s="132"/>
      <c r="H40" s="132"/>
      <c r="I40" s="59"/>
      <c r="J40" s="132"/>
      <c r="K40" s="132"/>
      <c r="L40" s="60"/>
      <c r="N40" s="137"/>
      <c r="O40" s="137"/>
      <c r="P40" s="102"/>
      <c r="R40" s="16"/>
    </row>
    <row r="41" spans="2:18" s="51" customFormat="1" ht="15">
      <c r="B41" s="16" t="s">
        <v>230</v>
      </c>
      <c r="C41" s="63"/>
      <c r="D41" s="132"/>
      <c r="E41" s="132"/>
      <c r="F41" s="132"/>
      <c r="G41" s="132"/>
      <c r="H41" s="132"/>
      <c r="I41" s="59"/>
      <c r="J41" s="132"/>
      <c r="K41" s="132"/>
      <c r="L41" s="60"/>
      <c r="N41" s="137"/>
      <c r="O41" s="137"/>
      <c r="P41" s="102"/>
      <c r="R41" s="16"/>
    </row>
    <row r="42" spans="2:18" s="51" customFormat="1" ht="15">
      <c r="B42" s="16"/>
      <c r="C42" s="63"/>
      <c r="D42" s="132"/>
      <c r="E42" s="132"/>
      <c r="F42" s="132"/>
      <c r="G42" s="132"/>
      <c r="H42" s="132"/>
      <c r="I42" s="59"/>
      <c r="J42" s="132"/>
      <c r="K42" s="132"/>
      <c r="L42" s="60"/>
      <c r="N42" s="137"/>
      <c r="O42" s="137"/>
      <c r="P42" s="102"/>
      <c r="R42" s="16"/>
    </row>
    <row r="43" spans="2:18" s="51" customFormat="1" ht="15">
      <c r="B43" s="51" t="s">
        <v>231</v>
      </c>
      <c r="C43" s="63"/>
      <c r="D43" s="132">
        <f>D39</f>
        <v>1005.1000200000026</v>
      </c>
      <c r="E43" s="132">
        <f>E39</f>
        <v>2831</v>
      </c>
      <c r="F43" s="132"/>
      <c r="G43" s="132">
        <f>G39</f>
        <v>3035.6881999999982</v>
      </c>
      <c r="H43" s="132">
        <f>H39</f>
        <v>5358</v>
      </c>
      <c r="I43" s="59"/>
      <c r="J43" s="132">
        <f>J39</f>
        <v>4040.78822</v>
      </c>
      <c r="K43" s="132">
        <f>K39</f>
        <v>8189</v>
      </c>
      <c r="L43" s="60"/>
      <c r="N43" s="137"/>
      <c r="O43" s="137"/>
      <c r="P43" s="102"/>
      <c r="R43" s="16"/>
    </row>
    <row r="44" spans="3:18" s="51" customFormat="1" ht="15">
      <c r="C44" s="63"/>
      <c r="D44" s="132"/>
      <c r="E44" s="132"/>
      <c r="F44" s="132"/>
      <c r="G44" s="132"/>
      <c r="H44" s="132"/>
      <c r="I44" s="59"/>
      <c r="J44" s="132"/>
      <c r="K44" s="132"/>
      <c r="L44" s="60"/>
      <c r="N44" s="137"/>
      <c r="O44" s="137"/>
      <c r="P44" s="102"/>
      <c r="R44" s="16"/>
    </row>
    <row r="45" spans="2:18" s="51" customFormat="1" ht="15">
      <c r="B45" s="51" t="s">
        <v>232</v>
      </c>
      <c r="C45" s="63"/>
      <c r="D45" s="210">
        <v>2</v>
      </c>
      <c r="E45" s="222">
        <v>0</v>
      </c>
      <c r="F45" s="222"/>
      <c r="G45" s="129">
        <f>J45-D45</f>
        <v>4.715400000000001</v>
      </c>
      <c r="H45" s="129">
        <f>K45-E45</f>
        <v>-3</v>
      </c>
      <c r="I45" s="59"/>
      <c r="J45" s="129">
        <f>'[7]1conso-YTD'!$Q$29</f>
        <v>6.715400000000001</v>
      </c>
      <c r="K45" s="129">
        <v>-3</v>
      </c>
      <c r="L45" s="60"/>
      <c r="N45" s="137"/>
      <c r="O45" s="137"/>
      <c r="P45" s="102"/>
      <c r="R45" s="16"/>
    </row>
    <row r="46" spans="2:18" s="51" customFormat="1" ht="15">
      <c r="B46" s="16"/>
      <c r="C46" s="63"/>
      <c r="D46" s="132"/>
      <c r="E46" s="132"/>
      <c r="F46" s="132"/>
      <c r="G46" s="132"/>
      <c r="H46" s="132"/>
      <c r="I46" s="59"/>
      <c r="J46" s="132"/>
      <c r="K46" s="132"/>
      <c r="L46" s="60"/>
      <c r="N46" s="137"/>
      <c r="O46" s="137"/>
      <c r="P46" s="102"/>
      <c r="R46" s="16"/>
    </row>
    <row r="47" spans="2:18" s="51" customFormat="1" ht="15.75" thickBot="1">
      <c r="B47" s="51" t="s">
        <v>223</v>
      </c>
      <c r="C47" s="63"/>
      <c r="D47" s="130">
        <f>SUM(D43:D46)</f>
        <v>1007.1000200000026</v>
      </c>
      <c r="E47" s="130">
        <f>SUM(E43:E46)</f>
        <v>2831</v>
      </c>
      <c r="F47" s="132"/>
      <c r="G47" s="130">
        <f>SUM(G43:G46)</f>
        <v>3040.4035999999983</v>
      </c>
      <c r="H47" s="130">
        <f>SUM(H43:H46)</f>
        <v>5355</v>
      </c>
      <c r="I47" s="59"/>
      <c r="J47" s="130">
        <f>SUM(J43:J46)</f>
        <v>4047.50362</v>
      </c>
      <c r="K47" s="130">
        <f>SUM(K43:K46)</f>
        <v>8186</v>
      </c>
      <c r="L47" s="60"/>
      <c r="N47" s="137"/>
      <c r="O47" s="137"/>
      <c r="P47" s="102"/>
      <c r="R47" s="16"/>
    </row>
    <row r="48" spans="2:18" s="51" customFormat="1" ht="15.75" thickTop="1">
      <c r="B48" s="51" t="s">
        <v>224</v>
      </c>
      <c r="C48" s="63"/>
      <c r="D48" s="132"/>
      <c r="E48" s="63"/>
      <c r="F48" s="63"/>
      <c r="G48" s="132"/>
      <c r="H48" s="63"/>
      <c r="I48" s="59"/>
      <c r="J48" s="132"/>
      <c r="K48" s="132"/>
      <c r="L48" s="60"/>
      <c r="N48" s="137"/>
      <c r="O48" s="137"/>
      <c r="P48" s="102"/>
      <c r="R48" s="16"/>
    </row>
    <row r="49" spans="2:18" s="51" customFormat="1" ht="15">
      <c r="B49" s="16"/>
      <c r="C49" s="63"/>
      <c r="D49" s="132"/>
      <c r="E49" s="63"/>
      <c r="F49" s="63"/>
      <c r="G49" s="132"/>
      <c r="H49" s="63"/>
      <c r="I49" s="59"/>
      <c r="J49" s="132"/>
      <c r="K49" s="132"/>
      <c r="L49" s="60"/>
      <c r="N49" s="137"/>
      <c r="O49" s="137"/>
      <c r="P49" s="102"/>
      <c r="R49" s="16"/>
    </row>
    <row r="50" spans="2:12" s="51" customFormat="1" ht="14.25">
      <c r="B50" s="54" t="s">
        <v>146</v>
      </c>
      <c r="C50" s="63"/>
      <c r="D50" s="132"/>
      <c r="E50" s="63"/>
      <c r="F50" s="63"/>
      <c r="G50" s="132"/>
      <c r="H50" s="63"/>
      <c r="I50" s="59"/>
      <c r="J50" s="63"/>
      <c r="K50" s="132"/>
      <c r="L50" s="87"/>
    </row>
    <row r="51" spans="2:12" s="51" customFormat="1" ht="14.25">
      <c r="B51" s="54" t="s">
        <v>147</v>
      </c>
      <c r="C51" s="177"/>
      <c r="D51" s="221">
        <v>90000</v>
      </c>
      <c r="E51" s="221">
        <v>90000</v>
      </c>
      <c r="F51" s="221"/>
      <c r="G51" s="221">
        <f>'[9]weighted avr share'!$O$68/1000</f>
        <v>154615.3846153846</v>
      </c>
      <c r="H51" s="221">
        <v>90000</v>
      </c>
      <c r="I51" s="62"/>
      <c r="J51" s="178">
        <f>'[9]weighted avr share'!$O$46/1000</f>
        <v>122486.18784530387</v>
      </c>
      <c r="K51" s="221">
        <f>E51</f>
        <v>90000</v>
      </c>
      <c r="L51" s="87"/>
    </row>
    <row r="52" spans="2:12" s="51" customFormat="1" ht="14.25">
      <c r="B52" s="54"/>
      <c r="C52" s="171"/>
      <c r="D52" s="178"/>
      <c r="E52" s="178"/>
      <c r="F52" s="178"/>
      <c r="G52" s="178"/>
      <c r="H52" s="178"/>
      <c r="I52" s="62"/>
      <c r="J52" s="178"/>
      <c r="K52" s="178"/>
      <c r="L52" s="87"/>
    </row>
    <row r="53" spans="2:12" s="51" customFormat="1" ht="14.25">
      <c r="B53" s="51" t="s">
        <v>225</v>
      </c>
      <c r="C53" s="177"/>
      <c r="D53" s="179">
        <f>D39/D51*100</f>
        <v>1.1167778000000028</v>
      </c>
      <c r="E53" s="179">
        <f>E39/E51*100</f>
        <v>3.1455555555555557</v>
      </c>
      <c r="F53" s="179"/>
      <c r="G53" s="179">
        <f>G39/G51*100</f>
        <v>1.9633804278606954</v>
      </c>
      <c r="H53" s="179">
        <f>H39/H51*100</f>
        <v>5.953333333333333</v>
      </c>
      <c r="I53" s="62"/>
      <c r="J53" s="179">
        <f>J39/J51*100</f>
        <v>3.2989745954894</v>
      </c>
      <c r="K53" s="179">
        <f>K47/K51*100</f>
        <v>9.095555555555555</v>
      </c>
      <c r="L53" s="60"/>
    </row>
    <row r="54" spans="11:12" s="51" customFormat="1" ht="14.25">
      <c r="K54" s="223"/>
      <c r="L54" s="60"/>
    </row>
    <row r="55" spans="3:12" s="51" customFormat="1" ht="14.25">
      <c r="C55" s="65"/>
      <c r="D55" s="65"/>
      <c r="E55" s="65"/>
      <c r="F55" s="65"/>
      <c r="G55" s="65"/>
      <c r="H55" s="65"/>
      <c r="I55" s="65"/>
      <c r="J55" s="65"/>
      <c r="K55" s="65"/>
      <c r="L55" s="60"/>
    </row>
    <row r="56" s="51" customFormat="1" ht="15">
      <c r="B56" s="66" t="s">
        <v>80</v>
      </c>
    </row>
    <row r="57" s="51" customFormat="1" ht="14.25">
      <c r="B57" s="51" t="s">
        <v>99</v>
      </c>
    </row>
    <row r="58" spans="1:2" s="51" customFormat="1" ht="18">
      <c r="A58" s="120" t="s">
        <v>126</v>
      </c>
      <c r="B58" s="119" t="s">
        <v>141</v>
      </c>
    </row>
    <row r="59" spans="1:2" s="51" customFormat="1" ht="18">
      <c r="A59" s="119"/>
      <c r="B59" s="121" t="s">
        <v>142</v>
      </c>
    </row>
    <row r="60" spans="1:2" s="51" customFormat="1" ht="11.25" customHeight="1">
      <c r="A60" s="119"/>
      <c r="B60" s="119"/>
    </row>
    <row r="61" spans="1:2" s="51" customFormat="1" ht="18">
      <c r="A61" s="118" t="s">
        <v>127</v>
      </c>
      <c r="B61" s="119" t="s">
        <v>226</v>
      </c>
    </row>
    <row r="62" spans="1:2" s="51" customFormat="1" ht="18">
      <c r="A62" s="119"/>
      <c r="B62" s="119" t="s">
        <v>248</v>
      </c>
    </row>
    <row r="63" spans="1:2" s="51" customFormat="1" ht="15.75" customHeight="1">
      <c r="A63" s="119"/>
      <c r="B63" s="119" t="s">
        <v>99</v>
      </c>
    </row>
    <row r="64" spans="1:2" s="51" customFormat="1" ht="15.75" customHeight="1">
      <c r="A64" s="118"/>
      <c r="B64" s="119"/>
    </row>
    <row r="65" spans="2:11" ht="16.5" customHeight="1">
      <c r="B65" s="119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.75">
      <c r="K67" s="38"/>
    </row>
    <row r="94" spans="2:10" ht="12.75">
      <c r="B94" s="38"/>
      <c r="C94" s="38"/>
      <c r="D94" s="38"/>
      <c r="E94" s="38"/>
      <c r="F94" s="38"/>
      <c r="G94" s="38"/>
      <c r="H94" s="38"/>
      <c r="I94" s="38"/>
      <c r="J94" s="116">
        <f>'[2]weighted avr share'!$O$36/1000</f>
        <v>0</v>
      </c>
    </row>
  </sheetData>
  <sheetProtection/>
  <mergeCells count="9">
    <mergeCell ref="G8:G11"/>
    <mergeCell ref="H8:H11"/>
    <mergeCell ref="J7:K7"/>
    <mergeCell ref="J8:J11"/>
    <mergeCell ref="K8:K11"/>
    <mergeCell ref="D7:E7"/>
    <mergeCell ref="D8:D11"/>
    <mergeCell ref="E8:E11"/>
    <mergeCell ref="G7:H7"/>
  </mergeCells>
  <printOptions gridLines="1"/>
  <pageMargins left="0.22" right="0.17" top="0.17" bottom="0.16" header="0.17" footer="0.1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156</v>
      </c>
      <c r="C1" s="138"/>
      <c r="D1" s="138"/>
    </row>
    <row r="2" spans="2:4" ht="15">
      <c r="B2" s="139" t="s">
        <v>157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158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159</v>
      </c>
      <c r="C9" s="145">
        <v>5</v>
      </c>
      <c r="D9" s="146">
        <v>2517123</v>
      </c>
    </row>
    <row r="10" spans="2:4" ht="15" thickBot="1">
      <c r="B10" s="145" t="s">
        <v>160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161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162</v>
      </c>
      <c r="C17" s="145">
        <v>8</v>
      </c>
      <c r="D17" s="146">
        <v>969346</v>
      </c>
    </row>
    <row r="18" spans="2:4" ht="14.25">
      <c r="B18" s="145" t="s">
        <v>163</v>
      </c>
      <c r="C18" s="145"/>
      <c r="D18" s="146">
        <v>641291</v>
      </c>
    </row>
    <row r="19" spans="2:4" ht="14.25">
      <c r="B19" s="145" t="s">
        <v>164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165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166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167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115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168</v>
      </c>
      <c r="C34" s="145">
        <v>14</v>
      </c>
      <c r="D34" s="146">
        <v>16586846</v>
      </c>
    </row>
    <row r="35" spans="2:4" ht="15" thickBot="1">
      <c r="B35" s="145" t="s">
        <v>117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169</v>
      </c>
      <c r="C38" s="145"/>
      <c r="D38" s="141"/>
    </row>
    <row r="39" spans="2:4" ht="14.25">
      <c r="B39" s="145" t="s">
        <v>170</v>
      </c>
      <c r="C39" s="145">
        <v>16</v>
      </c>
      <c r="D39" s="146">
        <v>8748757</v>
      </c>
    </row>
    <row r="40" spans="2:4" ht="14.25">
      <c r="B40" s="145" t="s">
        <v>118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168</v>
      </c>
      <c r="C42" s="145">
        <v>14</v>
      </c>
      <c r="D42" s="146">
        <v>14173873</v>
      </c>
    </row>
    <row r="43" spans="2:4" ht="15" thickBot="1">
      <c r="B43" s="145" t="s">
        <v>171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172</v>
      </c>
      <c r="C46" s="145"/>
      <c r="D46" s="147">
        <v>45309698</v>
      </c>
    </row>
    <row r="47" spans="2:4" ht="15.75" thickBot="1">
      <c r="B47" s="144" t="s">
        <v>173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37">
      <selection activeCell="D61" sqref="D61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31" t="str">
        <f>+'Income statement'!B1</f>
        <v>HANDAL RESOURCES  BERHAD (816839-X)</v>
      </c>
      <c r="C1" s="231"/>
      <c r="D1" s="231"/>
      <c r="E1" s="231"/>
      <c r="F1" s="231"/>
      <c r="G1" s="231"/>
      <c r="H1" s="231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217</v>
      </c>
      <c r="C3" s="68"/>
      <c r="D3" s="68"/>
      <c r="E3" s="68"/>
      <c r="F3" s="68"/>
      <c r="G3" s="68"/>
      <c r="H3" s="68"/>
    </row>
    <row r="4" s="69" customFormat="1" ht="15.75">
      <c r="B4" s="67" t="s">
        <v>257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120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255</v>
      </c>
      <c r="F8" s="70"/>
      <c r="G8" s="71" t="s">
        <v>237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'[7]1conso-YTD'!$Q$67+2447</f>
        <v>43354.59534</v>
      </c>
      <c r="F13" s="73"/>
      <c r="G13" s="106">
        <f>29229+2473</f>
        <v>31702</v>
      </c>
      <c r="H13" s="74"/>
    </row>
    <row r="14" spans="2:8" s="69" customFormat="1" ht="15.75" thickBot="1">
      <c r="B14" s="72" t="s">
        <v>151</v>
      </c>
      <c r="C14" s="107">
        <f>'[3]1conso-YTD'!$N$71</f>
        <v>373.97199</v>
      </c>
      <c r="D14" s="73"/>
      <c r="E14" s="107">
        <f>'[7]1conso-YTD'!$Q$74</f>
        <v>373.96898999999996</v>
      </c>
      <c r="F14" s="73"/>
      <c r="G14" s="107">
        <f>'BS12.09'!D10/1000</f>
        <v>373.969</v>
      </c>
      <c r="H14" s="75"/>
    </row>
    <row r="15" spans="2:8" s="69" customFormat="1" ht="16.5" thickBot="1">
      <c r="B15" s="76"/>
      <c r="C15" s="107">
        <f>SUM(C13:C14)</f>
        <v>28052.738579999997</v>
      </c>
      <c r="D15" s="73"/>
      <c r="E15" s="114">
        <f>SUM(E13:E14)</f>
        <v>43728.56433</v>
      </c>
      <c r="F15" s="73"/>
      <c r="G15" s="107">
        <f>SUM(G13:G14)</f>
        <v>32075.969</v>
      </c>
      <c r="H15" s="75"/>
    </row>
    <row r="16" spans="2:8" s="69" customFormat="1" ht="15">
      <c r="B16" s="72"/>
      <c r="C16" s="108"/>
      <c r="D16" s="77"/>
      <c r="E16" s="108"/>
      <c r="F16" s="77"/>
      <c r="G16" s="108"/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.75">
      <c r="B18" s="76" t="s">
        <v>4</v>
      </c>
      <c r="C18" s="108"/>
      <c r="D18" s="77"/>
      <c r="E18" s="108"/>
      <c r="F18" s="77"/>
      <c r="G18" s="108"/>
      <c r="H18" s="75"/>
    </row>
    <row r="19" spans="2:8" s="69" customFormat="1" ht="15">
      <c r="B19" s="75" t="s">
        <v>54</v>
      </c>
      <c r="C19" s="106">
        <f>'[3]1conso-YTD'!$N$75</f>
        <v>5239.74082</v>
      </c>
      <c r="D19" s="73"/>
      <c r="E19" s="106">
        <f>'[7]1conso-YTD'!$Q$78</f>
        <v>6384.78639</v>
      </c>
      <c r="F19" s="73"/>
      <c r="G19" s="106">
        <v>5195</v>
      </c>
      <c r="H19" s="75"/>
    </row>
    <row r="20" spans="2:8" s="69" customFormat="1" ht="15">
      <c r="B20" s="75" t="s">
        <v>243</v>
      </c>
      <c r="C20" s="106">
        <f>'[3]1conso-YTD'!$N$76</f>
        <v>199</v>
      </c>
      <c r="D20" s="73"/>
      <c r="E20" s="181">
        <f>'[7]1conso-YTD'!$Q$79</f>
        <v>2179</v>
      </c>
      <c r="F20" s="73"/>
      <c r="G20" s="106">
        <v>2212</v>
      </c>
      <c r="H20" s="75"/>
    </row>
    <row r="21" spans="2:8" s="69" customFormat="1" ht="15">
      <c r="B21" s="75" t="s">
        <v>53</v>
      </c>
      <c r="C21" s="106">
        <f>'[3]1conso-YTD'!$N$77</f>
        <v>17984.309699999994</v>
      </c>
      <c r="D21" s="73"/>
      <c r="E21" s="106">
        <f>'[7]1conso-YTD'!$Q$80</f>
        <v>20344.176449999988</v>
      </c>
      <c r="F21" s="73"/>
      <c r="G21" s="106">
        <v>14112</v>
      </c>
      <c r="H21" s="75"/>
    </row>
    <row r="22" spans="2:8" s="69" customFormat="1" ht="15">
      <c r="B22" s="75" t="s">
        <v>113</v>
      </c>
      <c r="C22" s="106">
        <f>'[3]1conso-YTD'!$N$78</f>
        <v>18688.837959999997</v>
      </c>
      <c r="D22" s="73"/>
      <c r="E22" s="106">
        <f>'[7]1conso-YTD'!$Q$81+'[7]1conso-YTD'!$Q$82</f>
        <v>18427.56171</v>
      </c>
      <c r="F22" s="73"/>
      <c r="G22" s="106">
        <f>28631+324</f>
        <v>28955</v>
      </c>
      <c r="H22" s="75"/>
    </row>
    <row r="23" spans="2:8" s="69" customFormat="1" ht="15">
      <c r="B23" s="75" t="s">
        <v>55</v>
      </c>
      <c r="C23" s="106">
        <f>'[3]1conso-YTD'!$N$80+'[3]1conso-YTD'!$N$81+750</f>
        <v>1382.37885</v>
      </c>
      <c r="D23" s="73"/>
      <c r="E23" s="106">
        <f>'[7]1conso-YTD'!$Q$83+'[7]1conso-YTD'!$Q$84</f>
        <v>7589.62163</v>
      </c>
      <c r="F23" s="73"/>
      <c r="G23" s="106">
        <v>3933</v>
      </c>
      <c r="H23" s="75"/>
    </row>
    <row r="24" spans="2:8" s="69" customFormat="1" ht="15">
      <c r="B24" s="75" t="s">
        <v>114</v>
      </c>
      <c r="C24" s="106">
        <f>'[3]1conso-YTD'!$N$82</f>
        <v>29349.86621</v>
      </c>
      <c r="D24" s="73"/>
      <c r="E24" s="106">
        <f>'[7]1conso-YTD'!$Q$85</f>
        <v>35277.19538999999</v>
      </c>
      <c r="F24" s="73"/>
      <c r="G24" s="106">
        <f>20123+11807</f>
        <v>31930</v>
      </c>
      <c r="H24" s="75"/>
    </row>
    <row r="25" spans="2:8" s="69" customFormat="1" ht="15.75" thickBot="1">
      <c r="B25" s="75" t="s">
        <v>148</v>
      </c>
      <c r="C25" s="117">
        <f>'[3]1conso-YTD'!$N$83</f>
        <v>3943.64952</v>
      </c>
      <c r="D25" s="73"/>
      <c r="E25" s="107">
        <f>'[7]1conso-YTD'!$Q$86</f>
        <v>16963.772119999998</v>
      </c>
      <c r="F25" s="73"/>
      <c r="G25" s="107">
        <v>7333</v>
      </c>
      <c r="H25" s="75"/>
    </row>
    <row r="26" spans="2:8" s="69" customFormat="1" ht="15.75" thickBot="1">
      <c r="B26" s="72"/>
      <c r="C26" s="107">
        <f>SUM(C19:C25)+0.5</f>
        <v>76788.28306</v>
      </c>
      <c r="D26" s="77"/>
      <c r="E26" s="114">
        <f>SUM(E19:E25)</f>
        <v>107166.11368999998</v>
      </c>
      <c r="F26" s="77"/>
      <c r="G26" s="107">
        <f>SUM(G19:G25)</f>
        <v>93670</v>
      </c>
      <c r="H26" s="75"/>
    </row>
    <row r="27" spans="2:8" s="69" customFormat="1" ht="15">
      <c r="B27" s="72"/>
      <c r="C27" s="108"/>
      <c r="D27" s="77"/>
      <c r="E27" s="108"/>
      <c r="F27" s="77"/>
      <c r="G27" s="108"/>
      <c r="H27" s="75"/>
    </row>
    <row r="28" spans="2:8" s="69" customFormat="1" ht="16.5" thickBot="1">
      <c r="B28" s="76" t="s">
        <v>36</v>
      </c>
      <c r="C28" s="109">
        <f>+C26+C15</f>
        <v>104841.02163999999</v>
      </c>
      <c r="D28" s="77"/>
      <c r="E28" s="109">
        <f>+E26+E15</f>
        <v>150894.67802</v>
      </c>
      <c r="F28" s="77"/>
      <c r="G28" s="109">
        <f>G15+G26</f>
        <v>125745.969</v>
      </c>
      <c r="H28" s="75"/>
    </row>
    <row r="29" spans="2:8" s="69" customFormat="1" ht="15.75" thickTop="1">
      <c r="B29" s="72"/>
      <c r="C29" s="108"/>
      <c r="D29" s="77"/>
      <c r="E29" s="108"/>
      <c r="F29" s="77"/>
      <c r="G29" s="108"/>
      <c r="H29" s="75"/>
    </row>
    <row r="30" spans="2:8" s="69" customFormat="1" ht="15.75">
      <c r="B30" s="76" t="s">
        <v>37</v>
      </c>
      <c r="C30" s="108"/>
      <c r="D30" s="77"/>
      <c r="E30" s="108"/>
      <c r="F30" s="77"/>
      <c r="G30" s="108"/>
      <c r="H30" s="75"/>
    </row>
    <row r="31" spans="2:8" s="69" customFormat="1" ht="15.75">
      <c r="B31" s="76" t="s">
        <v>56</v>
      </c>
      <c r="C31" s="108"/>
      <c r="D31" s="77"/>
      <c r="E31" s="108"/>
      <c r="F31" s="77"/>
      <c r="G31" s="108"/>
      <c r="H31" s="75"/>
    </row>
    <row r="32" spans="2:8" s="69" customFormat="1" ht="15">
      <c r="B32" s="75" t="s">
        <v>57</v>
      </c>
      <c r="C32" s="106">
        <f>'[3]1conso-YTD'!$N$95</f>
        <v>45000</v>
      </c>
      <c r="D32" s="73"/>
      <c r="E32" s="106">
        <f>'[7]1conso-YTD'!$Q$99</f>
        <v>80000</v>
      </c>
      <c r="F32" s="73"/>
      <c r="G32" s="106">
        <v>45000</v>
      </c>
      <c r="H32" s="75"/>
    </row>
    <row r="33" spans="2:8" s="69" customFormat="1" ht="15">
      <c r="B33" s="75" t="s">
        <v>143</v>
      </c>
      <c r="C33" s="106">
        <f>'[3]1conso-YTD'!$N$97</f>
        <v>1549.57636</v>
      </c>
      <c r="D33" s="73"/>
      <c r="E33" s="106">
        <f>'[7]1conso-YTD'!$Q$101</f>
        <v>172.57994</v>
      </c>
      <c r="F33" s="73"/>
      <c r="G33" s="106">
        <v>1550</v>
      </c>
      <c r="H33" s="75"/>
    </row>
    <row r="34" spans="2:8" s="69" customFormat="1" ht="15.75" thickBot="1">
      <c r="B34" s="75" t="s">
        <v>115</v>
      </c>
      <c r="C34" s="107">
        <f>'[3]1conso-YTD'!$N$98+750</f>
        <v>12847.421649</v>
      </c>
      <c r="D34" s="73"/>
      <c r="E34" s="107">
        <f>'[7]1conso-YTD'!$Q$102</f>
        <v>24427.966740000003</v>
      </c>
      <c r="F34" s="73"/>
      <c r="G34" s="107">
        <v>23836</v>
      </c>
      <c r="H34" s="75"/>
    </row>
    <row r="35" spans="2:8" s="69" customFormat="1" ht="15">
      <c r="B35" s="75" t="s">
        <v>153</v>
      </c>
      <c r="C35" s="135">
        <f>SUM(C32:C34)</f>
        <v>59396.998009</v>
      </c>
      <c r="D35" s="77"/>
      <c r="E35" s="108">
        <f>SUM(E32:E34)</f>
        <v>104600.54668</v>
      </c>
      <c r="F35" s="77"/>
      <c r="G35" s="135">
        <f>SUM(G32:G34)</f>
        <v>70386</v>
      </c>
      <c r="H35" s="75"/>
    </row>
    <row r="36" spans="2:8" s="69" customFormat="1" ht="15">
      <c r="B36" s="75" t="s">
        <v>154</v>
      </c>
      <c r="C36" s="106">
        <f>'[3]1conso-YTD'!$N$101</f>
        <v>-2.369579</v>
      </c>
      <c r="D36" s="73"/>
      <c r="E36" s="106">
        <f>'[7]1conso-YTD'!$Q$105</f>
        <v>3.2845999999999993</v>
      </c>
      <c r="F36" s="73"/>
      <c r="G36" s="181">
        <v>3</v>
      </c>
      <c r="H36" s="75"/>
    </row>
    <row r="37" spans="2:8" s="69" customFormat="1" ht="15">
      <c r="B37" s="75"/>
      <c r="C37" s="108"/>
      <c r="D37" s="77"/>
      <c r="E37" s="108"/>
      <c r="F37" s="77"/>
      <c r="G37" s="108"/>
      <c r="H37" s="75"/>
    </row>
    <row r="38" spans="2:8" s="69" customFormat="1" ht="15.75" thickBot="1">
      <c r="B38" s="75" t="s">
        <v>121</v>
      </c>
      <c r="C38" s="136">
        <f>SUM(C35:C37)</f>
        <v>59394.628430000004</v>
      </c>
      <c r="D38" s="77"/>
      <c r="E38" s="136">
        <f>SUM(E35:E37)</f>
        <v>104603.83128</v>
      </c>
      <c r="F38" s="77"/>
      <c r="G38" s="136">
        <f>SUM(G35:G37)</f>
        <v>70389</v>
      </c>
      <c r="H38" s="75"/>
    </row>
    <row r="39" spans="2:8" s="69" customFormat="1" ht="15.75">
      <c r="B39" s="78"/>
      <c r="C39" s="106"/>
      <c r="D39" s="77"/>
      <c r="E39" s="108"/>
      <c r="F39" s="77"/>
      <c r="G39" s="106"/>
      <c r="H39" s="75"/>
    </row>
    <row r="40" spans="2:8" s="69" customFormat="1" ht="15.75">
      <c r="B40" s="78" t="s">
        <v>38</v>
      </c>
      <c r="C40" s="106"/>
      <c r="D40" s="77"/>
      <c r="E40" s="108"/>
      <c r="F40" s="77"/>
      <c r="G40" s="106"/>
      <c r="H40" s="75"/>
    </row>
    <row r="41" spans="2:8" s="69" customFormat="1" ht="15">
      <c r="B41" s="75" t="s">
        <v>58</v>
      </c>
      <c r="C41" s="106">
        <f>'[3]1conso-YTD'!$N$106</f>
        <v>128</v>
      </c>
      <c r="D41" s="73"/>
      <c r="E41" s="106">
        <f>'[7]1conso-YTD'!$Q$110</f>
        <v>128</v>
      </c>
      <c r="F41" s="73"/>
      <c r="G41" s="106">
        <v>248</v>
      </c>
      <c r="H41" s="75"/>
    </row>
    <row r="42" spans="2:8" s="69" customFormat="1" ht="15">
      <c r="B42" s="75" t="s">
        <v>116</v>
      </c>
      <c r="C42" s="106">
        <f>'[3]1conso-YTD'!$N$107-5000</f>
        <v>16845.727010000002</v>
      </c>
      <c r="D42" s="73"/>
      <c r="E42" s="106">
        <f>'[7]1conso-YTD'!$Q$111</f>
        <v>20965.14031</v>
      </c>
      <c r="F42" s="73"/>
      <c r="G42" s="106">
        <v>18844</v>
      </c>
      <c r="H42" s="75"/>
    </row>
    <row r="43" spans="2:8" s="69" customFormat="1" ht="15.75" thickBot="1">
      <c r="B43" s="75" t="s">
        <v>117</v>
      </c>
      <c r="C43" s="107">
        <f>'[3]1conso-YTD'!$N$108</f>
        <v>1143.5</v>
      </c>
      <c r="D43" s="73"/>
      <c r="E43" s="107">
        <f>'[7]1conso-YTD'!$Q$112</f>
        <v>1978.5</v>
      </c>
      <c r="F43" s="73"/>
      <c r="G43" s="107">
        <v>1979</v>
      </c>
      <c r="H43" s="75"/>
    </row>
    <row r="44" spans="2:8" s="69" customFormat="1" ht="16.5" thickBot="1">
      <c r="B44" s="78"/>
      <c r="C44" s="107">
        <f>SUM(C41:C43)</f>
        <v>18117.227010000002</v>
      </c>
      <c r="D44" s="77"/>
      <c r="E44" s="114">
        <f>SUM(E41:E43)</f>
        <v>23071.64031</v>
      </c>
      <c r="F44" s="77"/>
      <c r="G44" s="114">
        <f>SUM(G41:G43)</f>
        <v>21071</v>
      </c>
      <c r="H44" s="75"/>
    </row>
    <row r="45" spans="2:8" s="69" customFormat="1" ht="15.75">
      <c r="B45" s="78"/>
      <c r="C45" s="106"/>
      <c r="D45" s="77"/>
      <c r="E45" s="108"/>
      <c r="F45" s="77"/>
      <c r="G45" s="106"/>
      <c r="H45" s="75"/>
    </row>
    <row r="46" spans="2:8" s="69" customFormat="1" ht="15.75">
      <c r="B46" s="78" t="s">
        <v>39</v>
      </c>
      <c r="C46" s="108"/>
      <c r="D46" s="77"/>
      <c r="E46" s="108"/>
      <c r="F46" s="77"/>
      <c r="G46" s="108"/>
      <c r="H46" s="75"/>
    </row>
    <row r="47" spans="2:8" s="69" customFormat="1" ht="15">
      <c r="B47" s="75" t="s">
        <v>244</v>
      </c>
      <c r="C47" s="108"/>
      <c r="D47" s="77"/>
      <c r="E47" s="182">
        <f>'[7]1conso-YTD'!$Q$115</f>
        <v>0</v>
      </c>
      <c r="F47" s="77"/>
      <c r="G47" s="182">
        <v>3257</v>
      </c>
      <c r="H47" s="75"/>
    </row>
    <row r="48" spans="2:8" s="69" customFormat="1" ht="15">
      <c r="B48" s="72" t="s">
        <v>59</v>
      </c>
      <c r="C48" s="106">
        <f>'[3]1conso-YTD'!$N$111</f>
        <v>8518.03714</v>
      </c>
      <c r="D48" s="73"/>
      <c r="E48" s="106">
        <f>'[7]1conso-YTD'!$Q$116</f>
        <v>9750.345430000001</v>
      </c>
      <c r="F48" s="73"/>
      <c r="G48" s="106">
        <v>10593</v>
      </c>
      <c r="H48" s="75"/>
    </row>
    <row r="49" spans="2:8" s="69" customFormat="1" ht="15">
      <c r="B49" s="72" t="s">
        <v>118</v>
      </c>
      <c r="C49" s="106">
        <f>'[3]1conso-YTD'!$N$112</f>
        <v>2186.2584</v>
      </c>
      <c r="D49" s="73"/>
      <c r="E49" s="106">
        <f>'[7]1conso-YTD'!$Q$117</f>
        <v>1793.0130199999999</v>
      </c>
      <c r="F49" s="73"/>
      <c r="G49" s="106">
        <v>3025</v>
      </c>
      <c r="H49" s="75"/>
    </row>
    <row r="50" spans="2:8" s="69" customFormat="1" ht="15">
      <c r="B50" s="72" t="s">
        <v>58</v>
      </c>
      <c r="C50" s="106">
        <f>'[3]1conso-YTD'!$N$113</f>
        <v>311.98563</v>
      </c>
      <c r="D50" s="73"/>
      <c r="E50" s="106">
        <f>'[7]1conso-YTD'!$Q$118</f>
        <v>168.11172999999997</v>
      </c>
      <c r="F50" s="73"/>
      <c r="G50" s="106">
        <v>97</v>
      </c>
      <c r="H50" s="75"/>
    </row>
    <row r="51" spans="2:8" s="69" customFormat="1" ht="15">
      <c r="B51" s="72" t="s">
        <v>60</v>
      </c>
      <c r="C51" s="106">
        <f>'[3]1conso-YTD'!$N$114+5000</f>
        <v>17328.22855</v>
      </c>
      <c r="D51" s="73"/>
      <c r="E51" s="106">
        <f>'[7]1conso-YTD'!$Q$119</f>
        <v>11106.091030000003</v>
      </c>
      <c r="F51" s="73"/>
      <c r="G51" s="106">
        <v>16947</v>
      </c>
      <c r="H51" s="75"/>
    </row>
    <row r="52" spans="2:8" s="69" customFormat="1" ht="15.75" thickBot="1">
      <c r="B52" s="72" t="s">
        <v>61</v>
      </c>
      <c r="C52" s="106">
        <f>'[3]1conso-YTD'!$N$115</f>
        <v>1489.59725</v>
      </c>
      <c r="D52" s="73"/>
      <c r="E52" s="220">
        <f>'[7]1conso-YTD'!$Q$120</f>
        <v>402</v>
      </c>
      <c r="F52" s="73"/>
      <c r="G52" s="107">
        <v>367</v>
      </c>
      <c r="H52" s="75"/>
    </row>
    <row r="53" spans="2:8" s="69" customFormat="1" ht="15.75" thickBot="1">
      <c r="B53" s="75"/>
      <c r="C53" s="114">
        <f>SUM(C48:C52)</f>
        <v>29834.10697</v>
      </c>
      <c r="D53" s="77"/>
      <c r="E53" s="114">
        <f>SUM(E47:E52)-1</f>
        <v>23218.561210000007</v>
      </c>
      <c r="F53" s="77"/>
      <c r="G53" s="114">
        <f>SUM(G47:G52)</f>
        <v>34286</v>
      </c>
      <c r="H53" s="75"/>
    </row>
    <row r="54" spans="2:8" s="69" customFormat="1" ht="12.75" customHeight="1">
      <c r="B54" s="75"/>
      <c r="C54" s="108"/>
      <c r="D54" s="77"/>
      <c r="E54" s="108"/>
      <c r="F54" s="77"/>
      <c r="G54" s="108"/>
      <c r="H54" s="75"/>
    </row>
    <row r="55" spans="2:8" s="69" customFormat="1" ht="15.75">
      <c r="B55" s="78" t="s">
        <v>40</v>
      </c>
      <c r="C55" s="108">
        <f>+C53+C44</f>
        <v>47951.33398</v>
      </c>
      <c r="D55" s="77"/>
      <c r="E55" s="108">
        <f>+E53+E44+1</f>
        <v>46291.20152</v>
      </c>
      <c r="F55" s="77"/>
      <c r="G55" s="108">
        <f>G44+G53</f>
        <v>55357</v>
      </c>
      <c r="H55" s="75"/>
    </row>
    <row r="56" spans="3:8" s="69" customFormat="1" ht="12.75" customHeight="1">
      <c r="C56" s="108"/>
      <c r="D56" s="77"/>
      <c r="E56" s="108"/>
      <c r="F56" s="77"/>
      <c r="G56" s="108"/>
      <c r="H56" s="75"/>
    </row>
    <row r="57" spans="2:8" s="69" customFormat="1" ht="16.5" thickBot="1">
      <c r="B57" s="67" t="s">
        <v>41</v>
      </c>
      <c r="C57" s="109">
        <f>C55+C38</f>
        <v>107345.96241000001</v>
      </c>
      <c r="D57" s="70"/>
      <c r="E57" s="109">
        <f>E55+E38</f>
        <v>150895.0328</v>
      </c>
      <c r="F57" s="70"/>
      <c r="G57" s="109">
        <f>G38+G55</f>
        <v>125746</v>
      </c>
      <c r="H57" s="75"/>
    </row>
    <row r="58" spans="2:8" s="69" customFormat="1" ht="16.5" thickTop="1">
      <c r="B58" s="67"/>
      <c r="C58" s="73"/>
      <c r="D58" s="77"/>
      <c r="E58" s="77"/>
      <c r="F58" s="77"/>
      <c r="G58" s="73"/>
      <c r="H58" s="75"/>
    </row>
    <row r="59" spans="2:8" s="69" customFormat="1" ht="15.75">
      <c r="B59" s="67"/>
      <c r="D59" s="73"/>
      <c r="E59" s="73"/>
      <c r="F59" s="73"/>
      <c r="G59" s="73"/>
      <c r="H59" s="75"/>
    </row>
    <row r="60" spans="2:8" s="69" customFormat="1" ht="15" hidden="1">
      <c r="B60" s="69" t="s">
        <v>6</v>
      </c>
      <c r="C60" s="79" t="e">
        <f>+(+#REF!-C16+#REF!)/43560</f>
        <v>#REF!</v>
      </c>
      <c r="D60" s="79"/>
      <c r="E60" s="79"/>
      <c r="F60" s="79"/>
      <c r="G60" s="79" t="e">
        <f>+(+#REF!-G16+#REF!)/43560</f>
        <v>#REF!</v>
      </c>
      <c r="H60" s="75"/>
    </row>
    <row r="61" spans="2:8" s="69" customFormat="1" ht="15">
      <c r="B61" s="232" t="s">
        <v>130</v>
      </c>
      <c r="C61" s="79"/>
      <c r="D61" s="79"/>
      <c r="E61" s="79"/>
      <c r="F61" s="79"/>
      <c r="G61" s="79"/>
      <c r="H61" s="75"/>
    </row>
    <row r="62" spans="2:8" s="69" customFormat="1" ht="15">
      <c r="B62" s="232"/>
      <c r="C62" s="79">
        <f>+C35/90000</f>
        <v>0.6599666445444444</v>
      </c>
      <c r="D62" s="79"/>
      <c r="E62" s="79">
        <f>+E35/160000</f>
        <v>0.65375341675</v>
      </c>
      <c r="F62" s="79"/>
      <c r="G62" s="79">
        <f>G35/90000</f>
        <v>0.7820666666666667</v>
      </c>
      <c r="H62" s="75"/>
    </row>
    <row r="63" s="69" customFormat="1" ht="9.75" customHeight="1">
      <c r="B63" s="80"/>
    </row>
    <row r="64" spans="1:11" s="69" customFormat="1" ht="15">
      <c r="A64" s="81" t="s">
        <v>126</v>
      </c>
      <c r="B64" s="69" t="s">
        <v>218</v>
      </c>
      <c r="C64" s="82"/>
      <c r="D64" s="82"/>
      <c r="E64" s="82"/>
      <c r="F64" s="82"/>
      <c r="G64" s="82"/>
      <c r="H64" s="82"/>
      <c r="I64" s="82"/>
      <c r="J64" s="82"/>
      <c r="K64" s="82"/>
    </row>
    <row r="65" spans="2:11" s="69" customFormat="1" ht="15">
      <c r="B65" s="69" t="s">
        <v>245</v>
      </c>
      <c r="C65" s="82"/>
      <c r="D65" s="82"/>
      <c r="E65" s="82"/>
      <c r="F65" s="82"/>
      <c r="G65" s="82"/>
      <c r="H65" s="82"/>
      <c r="I65" s="82"/>
      <c r="J65" s="82"/>
      <c r="K65" s="82"/>
    </row>
    <row r="66" spans="2:11" s="69" customFormat="1" ht="15">
      <c r="B66" s="75"/>
      <c r="C66" s="82"/>
      <c r="D66" s="82"/>
      <c r="E66" s="82"/>
      <c r="F66" s="82"/>
      <c r="G66" s="82"/>
      <c r="H66" s="82"/>
      <c r="I66" s="82"/>
      <c r="J66" s="82"/>
      <c r="K66" s="82"/>
    </row>
    <row r="67" spans="1:9" s="69" customFormat="1" ht="15">
      <c r="A67" s="81" t="s">
        <v>127</v>
      </c>
      <c r="B67" s="69" t="s">
        <v>131</v>
      </c>
      <c r="C67" s="83"/>
      <c r="D67" s="83"/>
      <c r="E67" s="83"/>
      <c r="F67" s="83"/>
      <c r="G67" s="83"/>
      <c r="H67" s="83"/>
      <c r="I67" s="83"/>
    </row>
    <row r="68" spans="2:9" s="69" customFormat="1" ht="15">
      <c r="B68" s="84" t="s">
        <v>267</v>
      </c>
      <c r="C68" s="83"/>
      <c r="D68" s="83"/>
      <c r="E68" s="83"/>
      <c r="F68" s="83"/>
      <c r="G68" s="83"/>
      <c r="H68" s="83"/>
      <c r="I68" s="83"/>
    </row>
    <row r="69" spans="2:9" ht="12.75">
      <c r="B69" s="38"/>
      <c r="C69" s="11"/>
      <c r="D69" s="38"/>
      <c r="E69" s="38"/>
      <c r="F69" s="38"/>
      <c r="G69" s="38"/>
      <c r="H69" s="38"/>
      <c r="I69" s="38"/>
    </row>
    <row r="73" ht="12.75">
      <c r="C73" s="131"/>
    </row>
  </sheetData>
  <sheetProtection/>
  <mergeCells count="2">
    <mergeCell ref="B1:H1"/>
    <mergeCell ref="B61:B62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6" width="18.7109375" style="90" customWidth="1"/>
    <col min="7" max="7" width="22.7109375" style="90" customWidth="1"/>
    <col min="8" max="8" width="18.7109375" style="90" customWidth="1"/>
    <col min="9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254</v>
      </c>
    </row>
    <row r="5" s="92" customFormat="1" ht="15">
      <c r="B5" s="91"/>
    </row>
    <row r="6" s="92" customFormat="1" ht="15.75" thickBot="1">
      <c r="B6" s="91"/>
    </row>
    <row r="7" spans="3:8" s="92" customFormat="1" ht="20.25" customHeight="1" thickBot="1">
      <c r="C7" s="233" t="s">
        <v>122</v>
      </c>
      <c r="D7" s="234"/>
      <c r="E7" s="234"/>
      <c r="F7" s="234"/>
      <c r="G7" s="234"/>
      <c r="H7" s="235"/>
    </row>
    <row r="8" s="92" customFormat="1" ht="12.75" customHeight="1" hidden="1"/>
    <row r="9" s="92" customFormat="1" ht="12.75" customHeight="1" hidden="1"/>
    <row r="10" spans="3:8" s="92" customFormat="1" ht="15" customHeight="1">
      <c r="C10" s="93"/>
      <c r="D10" s="93"/>
      <c r="E10" s="93"/>
      <c r="F10" s="93"/>
      <c r="G10" s="88"/>
      <c r="H10" s="93"/>
    </row>
    <row r="11" spans="3:8" s="92" customFormat="1" ht="15" customHeight="1">
      <c r="C11" s="93"/>
      <c r="D11" s="93"/>
      <c r="E11" s="93"/>
      <c r="F11" s="93"/>
      <c r="G11" s="100"/>
      <c r="H11" s="100"/>
    </row>
    <row r="12" spans="3:8" s="92" customFormat="1" ht="15" customHeight="1">
      <c r="C12" s="93" t="s">
        <v>5</v>
      </c>
      <c r="D12" s="93" t="s">
        <v>10</v>
      </c>
      <c r="E12" s="101" t="s">
        <v>11</v>
      </c>
      <c r="F12" s="93" t="s">
        <v>153</v>
      </c>
      <c r="G12" s="101" t="s">
        <v>216</v>
      </c>
      <c r="H12" s="101" t="s">
        <v>62</v>
      </c>
    </row>
    <row r="13" spans="3:8" s="92" customFormat="1" ht="15" customHeight="1">
      <c r="C13" s="93"/>
      <c r="D13" s="93"/>
      <c r="E13" s="100"/>
      <c r="F13" s="93"/>
      <c r="G13" s="100"/>
      <c r="H13" s="100"/>
    </row>
    <row r="14" spans="3:8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3</v>
      </c>
    </row>
    <row r="15" spans="3:8" s="92" customFormat="1" ht="15" customHeight="1">
      <c r="C15" s="93"/>
      <c r="D15" s="93"/>
      <c r="E15" s="93"/>
      <c r="F15" s="93"/>
      <c r="G15" s="93"/>
      <c r="H15" s="93"/>
    </row>
    <row r="16" spans="2:8" s="92" customFormat="1" ht="15" customHeight="1">
      <c r="B16" s="91" t="s">
        <v>246</v>
      </c>
      <c r="C16" s="110">
        <v>45000</v>
      </c>
      <c r="D16" s="110">
        <v>1550</v>
      </c>
      <c r="E16" s="110">
        <f>23836460/1000+1</f>
        <v>23837.46</v>
      </c>
      <c r="F16" s="110">
        <f>SUM(C16:E16)</f>
        <v>70387.45999999999</v>
      </c>
      <c r="G16" s="110">
        <f>3285/1000</f>
        <v>3.285</v>
      </c>
      <c r="H16" s="110">
        <f>SUM(F16:G16)-1</f>
        <v>70389.745</v>
      </c>
    </row>
    <row r="17" spans="2:8" s="92" customFormat="1" ht="15" customHeight="1">
      <c r="B17" s="91"/>
      <c r="C17" s="110"/>
      <c r="D17" s="110"/>
      <c r="E17" s="110"/>
      <c r="F17" s="110"/>
      <c r="G17" s="110"/>
      <c r="H17" s="110"/>
    </row>
    <row r="18" spans="2:8" s="92" customFormat="1" ht="15" customHeight="1">
      <c r="B18" s="92" t="s">
        <v>265</v>
      </c>
      <c r="C18" s="94">
        <v>30000</v>
      </c>
      <c r="D18" s="94">
        <v>173</v>
      </c>
      <c r="E18" s="94">
        <v>0</v>
      </c>
      <c r="F18" s="94">
        <f>SUM(C18:E18)</f>
        <v>30173</v>
      </c>
      <c r="G18" s="94">
        <v>0</v>
      </c>
      <c r="H18" s="110">
        <f>SUM(F18:G18)</f>
        <v>30173</v>
      </c>
    </row>
    <row r="19" spans="2:8" s="92" customFormat="1" ht="15" customHeight="1">
      <c r="B19" s="91"/>
      <c r="C19" s="94"/>
      <c r="D19" s="94"/>
      <c r="E19" s="94"/>
      <c r="F19" s="94"/>
      <c r="G19" s="94"/>
      <c r="H19" s="94"/>
    </row>
    <row r="20" spans="2:8" s="92" customFormat="1" ht="15" customHeight="1">
      <c r="B20" s="92" t="s">
        <v>264</v>
      </c>
      <c r="C20" s="94">
        <v>5000</v>
      </c>
      <c r="D20" s="94">
        <v>-1550</v>
      </c>
      <c r="E20" s="94">
        <v>-3450</v>
      </c>
      <c r="F20" s="94">
        <f>SUM(C20:E20)</f>
        <v>0</v>
      </c>
      <c r="G20" s="94">
        <v>0</v>
      </c>
      <c r="H20" s="110">
        <f>SUM(F20:G20)</f>
        <v>0</v>
      </c>
    </row>
    <row r="21" spans="2:8" s="92" customFormat="1" ht="15" customHeight="1">
      <c r="B21" s="91"/>
      <c r="C21" s="94"/>
      <c r="D21" s="94"/>
      <c r="E21" s="94"/>
      <c r="F21" s="94"/>
      <c r="G21" s="94"/>
      <c r="H21" s="94"/>
    </row>
    <row r="22" spans="2:8" s="92" customFormat="1" ht="15" customHeight="1">
      <c r="B22" s="92" t="s">
        <v>247</v>
      </c>
      <c r="C22" s="94"/>
      <c r="D22" s="94"/>
      <c r="E22" s="94">
        <v>4041</v>
      </c>
      <c r="F22" s="94">
        <f>SUM(C22:E22)</f>
        <v>4041</v>
      </c>
      <c r="G22" s="94">
        <v>0</v>
      </c>
      <c r="H22" s="94">
        <f>SUM(F22:G22)</f>
        <v>4041</v>
      </c>
    </row>
    <row r="23" spans="3:8" s="92" customFormat="1" ht="15" customHeight="1">
      <c r="C23" s="94"/>
      <c r="D23" s="94"/>
      <c r="E23" s="94"/>
      <c r="F23" s="94"/>
      <c r="G23" s="94"/>
      <c r="H23" s="94"/>
    </row>
    <row r="24" spans="2:9" s="92" customFormat="1" ht="15" customHeight="1" thickBot="1">
      <c r="B24" s="91" t="s">
        <v>258</v>
      </c>
      <c r="C24" s="95">
        <f aca="true" t="shared" si="0" ref="C24:H24">SUM(C16:C23)</f>
        <v>80000</v>
      </c>
      <c r="D24" s="95">
        <f t="shared" si="0"/>
        <v>173</v>
      </c>
      <c r="E24" s="95">
        <f t="shared" si="0"/>
        <v>24428.46</v>
      </c>
      <c r="F24" s="95">
        <f t="shared" si="0"/>
        <v>104601.45999999999</v>
      </c>
      <c r="G24" s="95">
        <f t="shared" si="0"/>
        <v>3.285</v>
      </c>
      <c r="H24" s="95">
        <f t="shared" si="0"/>
        <v>104603.745</v>
      </c>
      <c r="I24" s="96"/>
    </row>
    <row r="25" spans="3:8" s="92" customFormat="1" ht="15" customHeight="1" thickTop="1">
      <c r="C25" s="97"/>
      <c r="D25" s="97"/>
      <c r="E25" s="97"/>
      <c r="F25" s="97"/>
      <c r="G25" s="97"/>
      <c r="H25" s="97"/>
    </row>
    <row r="26" spans="3:14" s="92" customFormat="1" ht="15" customHeight="1">
      <c r="C26" s="97"/>
      <c r="D26" s="97"/>
      <c r="E26" s="97"/>
      <c r="F26" s="97"/>
      <c r="G26" s="97"/>
      <c r="N26" s="97"/>
    </row>
    <row r="27" spans="2:14" s="92" customFormat="1" ht="15" customHeight="1" hidden="1">
      <c r="B27" s="92" t="s">
        <v>119</v>
      </c>
      <c r="C27" s="97"/>
      <c r="D27" s="97"/>
      <c r="E27" s="97"/>
      <c r="F27" s="97"/>
      <c r="G27" s="97"/>
      <c r="I27" s="98"/>
      <c r="J27" s="98"/>
      <c r="K27" s="98"/>
      <c r="M27" s="98"/>
      <c r="N27" s="97"/>
    </row>
    <row r="28" spans="2:13" s="92" customFormat="1" ht="15" customHeight="1" hidden="1">
      <c r="B28" s="98"/>
      <c r="C28" s="97"/>
      <c r="D28" s="97"/>
      <c r="E28" s="97"/>
      <c r="F28" s="97"/>
      <c r="G28" s="97"/>
      <c r="H28" s="97"/>
      <c r="I28" s="98"/>
      <c r="J28" s="98"/>
      <c r="K28" s="98"/>
      <c r="L28" s="98"/>
      <c r="M28" s="98"/>
    </row>
    <row r="29" spans="2:7" ht="12.75" hidden="1">
      <c r="B29" s="99"/>
      <c r="C29" s="99"/>
      <c r="D29" s="99"/>
      <c r="E29" s="99"/>
      <c r="F29" s="99"/>
      <c r="G29" s="99"/>
    </row>
    <row r="30" spans="2:7" ht="12.75" hidden="1">
      <c r="B30" s="127" t="s">
        <v>149</v>
      </c>
      <c r="C30" s="99"/>
      <c r="D30" s="99"/>
      <c r="E30" s="99"/>
      <c r="F30" s="99"/>
      <c r="G30" s="99"/>
    </row>
    <row r="31" spans="2:7" ht="14.25" hidden="1">
      <c r="B31" s="125" t="s">
        <v>152</v>
      </c>
      <c r="C31" s="126"/>
      <c r="D31" s="126"/>
      <c r="E31" s="126"/>
      <c r="F31" s="126"/>
      <c r="G31" s="126"/>
    </row>
    <row r="32" spans="2:7" ht="14.25" hidden="1">
      <c r="B32" s="92" t="s">
        <v>150</v>
      </c>
      <c r="C32" s="92"/>
      <c r="D32" s="92"/>
      <c r="E32" s="92"/>
      <c r="F32" s="92"/>
      <c r="G32" s="92"/>
    </row>
    <row r="33" spans="2:7" ht="14.25">
      <c r="B33" s="92"/>
      <c r="C33" s="92"/>
      <c r="D33" s="92"/>
      <c r="E33" s="92"/>
      <c r="F33" s="92"/>
      <c r="G33" s="92"/>
    </row>
    <row r="34" spans="2:7" ht="14.25">
      <c r="B34" s="92" t="s">
        <v>227</v>
      </c>
      <c r="C34" s="92"/>
      <c r="D34" s="92"/>
      <c r="E34" s="92"/>
      <c r="F34" s="92"/>
      <c r="G34" s="92"/>
    </row>
    <row r="35" spans="2:7" ht="14.25">
      <c r="B35" s="92" t="s">
        <v>245</v>
      </c>
      <c r="C35" s="92"/>
      <c r="D35" s="92"/>
      <c r="E35" s="92"/>
      <c r="F35" s="92"/>
      <c r="G35" s="92"/>
    </row>
    <row r="36" ht="14.25">
      <c r="B36" s="98" t="s">
        <v>99</v>
      </c>
    </row>
    <row r="37" ht="14.25">
      <c r="B37" s="92"/>
    </row>
  </sheetData>
  <sheetProtection/>
  <mergeCells count="1">
    <mergeCell ref="C7:H7"/>
  </mergeCells>
  <printOptions gridLines="1"/>
  <pageMargins left="0.24" right="0.17" top="0.58" bottom="0.17" header="0.29" footer="0.1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statement'!J12</f>
        <v>30 June 2011</v>
      </c>
      <c r="E8" s="12"/>
      <c r="F8" s="5" t="str">
        <f>'Income statement'!K12</f>
        <v>30 June 2010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36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36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36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36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39" t="s">
        <v>18</v>
      </c>
      <c r="D6" s="240"/>
      <c r="E6" s="239" t="s">
        <v>19</v>
      </c>
      <c r="F6" s="240"/>
      <c r="H6" s="7"/>
    </row>
    <row r="7" spans="3:6" ht="12.75">
      <c r="C7" s="241" t="s">
        <v>20</v>
      </c>
      <c r="D7" s="241" t="s">
        <v>21</v>
      </c>
      <c r="E7" s="241" t="s">
        <v>23</v>
      </c>
      <c r="F7" s="241" t="s">
        <v>22</v>
      </c>
    </row>
    <row r="8" spans="3:6" ht="12.75">
      <c r="C8" s="241"/>
      <c r="D8" s="241"/>
      <c r="E8" s="241"/>
      <c r="F8" s="241"/>
    </row>
    <row r="9" spans="3:6" ht="12.75">
      <c r="C9" s="241"/>
      <c r="D9" s="241"/>
      <c r="E9" s="241"/>
      <c r="F9" s="241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statement'!J15</f>
        <v>38383.76977</v>
      </c>
      <c r="F14" s="9">
        <f>+'Income statement'!K15</f>
        <v>40684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statement'!J29</f>
        <v>5319.23745</v>
      </c>
      <c r="F16" s="9">
        <f>+'Income statement'!K29</f>
        <v>10353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37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37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38" t="s">
        <v>48</v>
      </c>
      <c r="C33" s="9"/>
      <c r="D33" s="9"/>
      <c r="E33" s="10">
        <f>+'balance sheet'!C62</f>
        <v>0.6599666445444444</v>
      </c>
      <c r="F33" s="10">
        <f>+'balance sheet'!G62</f>
        <v>0.7820666666666667</v>
      </c>
    </row>
    <row r="34" spans="2:6" ht="12.75">
      <c r="B34" s="238"/>
      <c r="C34" s="9"/>
      <c r="D34" s="9"/>
      <c r="E34" s="9"/>
      <c r="F34" s="9"/>
    </row>
    <row r="35" spans="2:6" ht="12.75">
      <c r="B35" s="238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174</v>
      </c>
    </row>
    <row r="2" ht="15">
      <c r="B2" s="16" t="s">
        <v>175</v>
      </c>
    </row>
    <row r="3" ht="15">
      <c r="B3" s="16" t="s">
        <v>176</v>
      </c>
    </row>
    <row r="4" ht="15">
      <c r="B4" s="16"/>
    </row>
    <row r="5" ht="15">
      <c r="B5" s="16" t="s">
        <v>177</v>
      </c>
    </row>
    <row r="6" ht="15">
      <c r="B6" s="16" t="s">
        <v>178</v>
      </c>
    </row>
    <row r="7" ht="14.25">
      <c r="B7" s="150"/>
    </row>
    <row r="8" spans="2:4" ht="15">
      <c r="B8" s="24"/>
      <c r="C8" s="17" t="s">
        <v>179</v>
      </c>
      <c r="D8" s="17">
        <v>2009</v>
      </c>
    </row>
    <row r="9" spans="2:4" ht="15">
      <c r="B9" s="24"/>
      <c r="C9" s="17"/>
      <c r="D9" s="17" t="s">
        <v>180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181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182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183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184</v>
      </c>
      <c r="C26" s="19"/>
      <c r="D26" s="155">
        <v>1005378</v>
      </c>
    </row>
    <row r="27" spans="2:4" ht="14.25">
      <c r="B27" s="24" t="s">
        <v>185</v>
      </c>
      <c r="C27" s="19"/>
      <c r="D27" s="155">
        <v>2638376</v>
      </c>
    </row>
    <row r="28" spans="2:4" ht="14.25">
      <c r="B28" s="20" t="s">
        <v>144</v>
      </c>
      <c r="C28" s="19"/>
      <c r="D28" s="155">
        <v>-3186200</v>
      </c>
    </row>
    <row r="29" spans="2:4" ht="28.5">
      <c r="B29" s="20" t="s">
        <v>186</v>
      </c>
      <c r="C29" s="19"/>
      <c r="D29" s="155">
        <v>-1774921</v>
      </c>
    </row>
    <row r="30" spans="2:4" ht="28.5">
      <c r="B30" s="20" t="s">
        <v>132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133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187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188</v>
      </c>
      <c r="C42" s="19"/>
      <c r="D42" s="19"/>
    </row>
    <row r="43" spans="2:4" ht="14.25">
      <c r="B43" s="18" t="s">
        <v>189</v>
      </c>
      <c r="C43" s="19">
        <v>17</v>
      </c>
      <c r="D43" s="155">
        <v>15479479</v>
      </c>
    </row>
    <row r="44" spans="2:4" ht="14.25">
      <c r="B44" s="18" t="s">
        <v>190</v>
      </c>
      <c r="C44" s="19"/>
      <c r="D44" s="155">
        <v>381336</v>
      </c>
    </row>
    <row r="45" spans="2:4" ht="14.25">
      <c r="B45" s="18" t="s">
        <v>191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192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193</v>
      </c>
      <c r="C53" s="19"/>
      <c r="D53" s="155">
        <v>13320000</v>
      </c>
      <c r="E53" s="152"/>
    </row>
    <row r="54" spans="2:5" ht="15">
      <c r="B54" s="20" t="s">
        <v>194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195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196</v>
      </c>
      <c r="C58" s="19"/>
      <c r="D58" s="155">
        <v>-666770</v>
      </c>
      <c r="E58" s="152"/>
    </row>
    <row r="59" spans="2:5" ht="15">
      <c r="B59" s="20" t="s">
        <v>197</v>
      </c>
      <c r="C59" s="19"/>
      <c r="D59" s="155">
        <v>-2520424</v>
      </c>
      <c r="E59" s="152"/>
    </row>
    <row r="60" spans="2:5" ht="15">
      <c r="B60" s="20" t="s">
        <v>198</v>
      </c>
      <c r="C60" s="19"/>
      <c r="D60" s="155">
        <v>-2812839</v>
      </c>
      <c r="E60" s="152"/>
    </row>
    <row r="61" spans="2:5" ht="15.75" thickBot="1">
      <c r="B61" s="20" t="s">
        <v>199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200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201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202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203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213</v>
      </c>
      <c r="C75"/>
      <c r="D75"/>
    </row>
    <row r="76" spans="2:4" ht="14.25">
      <c r="B76" s="150"/>
      <c r="C76"/>
      <c r="D76"/>
    </row>
    <row r="77" spans="2:4" ht="42.75">
      <c r="B77" s="150" t="s">
        <v>204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205</v>
      </c>
      <c r="E79" s="163"/>
      <c r="F79" s="242"/>
      <c r="G79" s="242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180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206</v>
      </c>
      <c r="D83" s="155">
        <v>8538068</v>
      </c>
      <c r="E83" s="165"/>
      <c r="F83" s="166"/>
      <c r="G83" s="166"/>
    </row>
    <row r="84" spans="2:7" ht="15">
      <c r="B84" s="20" t="s">
        <v>207</v>
      </c>
      <c r="D84" s="17"/>
      <c r="E84" s="163"/>
      <c r="F84" s="164"/>
      <c r="G84" s="164"/>
    </row>
    <row r="85" spans="2:7" ht="14.25">
      <c r="B85" s="20" t="s">
        <v>208</v>
      </c>
      <c r="D85" s="155">
        <v>19711108</v>
      </c>
      <c r="E85" s="166"/>
      <c r="F85" s="167"/>
      <c r="G85" s="166"/>
    </row>
    <row r="86" spans="2:7" ht="14.25">
      <c r="B86" s="20" t="s">
        <v>209</v>
      </c>
      <c r="D86" s="155">
        <v>3199333</v>
      </c>
      <c r="E86" s="165"/>
      <c r="F86" s="167"/>
      <c r="G86" s="166"/>
    </row>
    <row r="87" spans="2:7" ht="15" thickBot="1">
      <c r="B87" s="20" t="s">
        <v>210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211</v>
      </c>
      <c r="D90" s="17"/>
      <c r="E90" s="163"/>
      <c r="F90" s="164"/>
      <c r="G90" s="163"/>
    </row>
    <row r="91" spans="2:7" ht="15" thickBot="1">
      <c r="B91" s="20" t="s">
        <v>212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191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2"/>
    </row>
    <row r="4" spans="2:10" s="51" customFormat="1" ht="15" customHeight="1">
      <c r="B4" s="16" t="s">
        <v>259</v>
      </c>
      <c r="E4" s="39"/>
      <c r="F4" s="39"/>
      <c r="G4" s="193"/>
      <c r="H4" s="39"/>
      <c r="I4" s="39"/>
      <c r="J4" s="39"/>
    </row>
    <row r="5" spans="2:10" s="51" customFormat="1" ht="15" customHeight="1">
      <c r="B5" s="16"/>
      <c r="E5" s="227" t="s">
        <v>214</v>
      </c>
      <c r="F5" s="56"/>
      <c r="G5" s="227" t="s">
        <v>260</v>
      </c>
      <c r="I5" s="227" t="s">
        <v>261</v>
      </c>
      <c r="J5" s="227" t="s">
        <v>215</v>
      </c>
    </row>
    <row r="6" spans="2:10" s="51" customFormat="1" ht="15" customHeight="1">
      <c r="B6" s="16"/>
      <c r="E6" s="227"/>
      <c r="F6" s="56"/>
      <c r="G6" s="227"/>
      <c r="I6" s="244"/>
      <c r="J6" s="244"/>
    </row>
    <row r="7" spans="2:10" s="51" customFormat="1" ht="15" customHeight="1">
      <c r="B7" s="16"/>
      <c r="E7" s="227"/>
      <c r="F7" s="56"/>
      <c r="G7" s="227"/>
      <c r="I7" s="244"/>
      <c r="J7" s="244"/>
    </row>
    <row r="8" spans="2:10" s="51" customFormat="1" ht="45" customHeight="1">
      <c r="B8" s="16"/>
      <c r="E8" s="227"/>
      <c r="F8" s="56"/>
      <c r="G8" s="227"/>
      <c r="I8" s="244"/>
      <c r="J8" s="244"/>
    </row>
    <row r="9" spans="2:10" s="51" customFormat="1" ht="15" customHeight="1">
      <c r="B9" s="16"/>
      <c r="E9" s="58" t="s">
        <v>3</v>
      </c>
      <c r="F9" s="58"/>
      <c r="G9" s="194" t="s">
        <v>3</v>
      </c>
      <c r="I9" s="190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5"/>
      <c r="H10" s="16"/>
      <c r="I10" s="16"/>
      <c r="J10" s="17"/>
    </row>
    <row r="11" spans="2:10" s="51" customFormat="1" ht="15" customHeight="1">
      <c r="B11" s="18"/>
      <c r="C11" s="19"/>
      <c r="D11" s="17"/>
      <c r="E11" s="17"/>
      <c r="F11" s="17"/>
      <c r="G11" s="196"/>
      <c r="H11" s="17"/>
      <c r="I11" s="17"/>
      <c r="J11" s="17"/>
    </row>
    <row r="12" spans="2:10" s="51" customFormat="1" ht="12.75" customHeight="1">
      <c r="B12" s="15" t="s">
        <v>63</v>
      </c>
      <c r="C12" s="15"/>
      <c r="D12" s="15"/>
      <c r="E12" s="15"/>
      <c r="F12" s="15"/>
      <c r="G12" s="197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198">
        <f>'[8]Sheet2'!$U$8</f>
        <v>5319</v>
      </c>
      <c r="H13" s="21"/>
      <c r="I13" s="21">
        <v>9852</v>
      </c>
      <c r="J13" s="21">
        <f>'CF12.09'!D12/1000</f>
        <v>13768.765</v>
      </c>
      <c r="K13" s="186"/>
    </row>
    <row r="14" spans="2:11" s="51" customFormat="1" ht="14.25">
      <c r="B14" s="20"/>
      <c r="C14" s="19"/>
      <c r="D14" s="19"/>
      <c r="E14" s="21"/>
      <c r="F14" s="21"/>
      <c r="G14" s="198"/>
      <c r="H14" s="21"/>
      <c r="I14" s="21"/>
      <c r="J14" s="21"/>
      <c r="K14" s="186"/>
    </row>
    <row r="15" spans="2:11" s="51" customFormat="1" ht="15" thickBot="1">
      <c r="B15" s="215" t="s">
        <v>111</v>
      </c>
      <c r="C15" s="19"/>
      <c r="D15" s="19"/>
      <c r="E15" s="21" t="e">
        <f>'[4]cashflow.'!$V$17</f>
        <v>#REF!</v>
      </c>
      <c r="F15" s="21"/>
      <c r="G15" s="198">
        <f>'[8]Sheet2'!$V$20</f>
        <v>2736.23467</v>
      </c>
      <c r="H15" s="21"/>
      <c r="I15" s="22">
        <v>2178</v>
      </c>
      <c r="J15" s="22">
        <f>'CF12.09'!E22/1000</f>
        <v>914.288</v>
      </c>
      <c r="K15" s="186"/>
    </row>
    <row r="16" spans="2:11" s="51" customFormat="1" ht="14.25">
      <c r="B16" s="216"/>
      <c r="C16" s="19"/>
      <c r="D16" s="19"/>
      <c r="E16" s="23"/>
      <c r="F16" s="28"/>
      <c r="G16" s="199"/>
      <c r="H16" s="28"/>
      <c r="I16" s="28"/>
      <c r="J16" s="21"/>
      <c r="K16" s="186"/>
    </row>
    <row r="17" spans="2:11" s="51" customFormat="1" ht="15.75" customHeight="1">
      <c r="B17" s="215" t="s">
        <v>8</v>
      </c>
      <c r="C17" s="19"/>
      <c r="D17" s="19"/>
      <c r="E17" s="49">
        <f>'[4]cashflow.'!$U$21</f>
        <v>3906</v>
      </c>
      <c r="F17" s="49"/>
      <c r="G17" s="200">
        <f>SUM(G13:G15)</f>
        <v>8055.23467</v>
      </c>
      <c r="H17" s="21"/>
      <c r="I17" s="49">
        <f>SUM(I13:I15)</f>
        <v>12030</v>
      </c>
      <c r="J17" s="49">
        <f>'CF12.09'!D24/1000</f>
        <v>14683.053</v>
      </c>
      <c r="K17" s="186"/>
    </row>
    <row r="18" spans="2:15" s="51" customFormat="1" ht="14.25">
      <c r="B18" s="217"/>
      <c r="C18" s="24"/>
      <c r="D18" s="24"/>
      <c r="E18" s="21"/>
      <c r="F18" s="21"/>
      <c r="G18" s="198"/>
      <c r="H18" s="21"/>
      <c r="I18" s="21"/>
      <c r="J18" s="21"/>
      <c r="K18" s="212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198" t="e">
        <f>'[1]cashflow.'!F22</f>
        <v>#REF!</v>
      </c>
      <c r="H19" s="21"/>
      <c r="I19" s="21"/>
      <c r="J19" s="21" t="s">
        <v>24</v>
      </c>
      <c r="K19" s="212"/>
      <c r="L19" s="19"/>
    </row>
    <row r="20" spans="2:12" s="51" customFormat="1" ht="14.25" customHeight="1">
      <c r="B20" s="41" t="s">
        <v>239</v>
      </c>
      <c r="C20" s="24"/>
      <c r="D20" s="24"/>
      <c r="E20" s="21">
        <f>'[4]cashflow.'!$U$23</f>
        <v>312.60903000000053</v>
      </c>
      <c r="F20" s="21"/>
      <c r="G20" s="198">
        <f>'[8]Sheet2'!$U$24</f>
        <v>-1190.15639</v>
      </c>
      <c r="H20" s="21"/>
      <c r="I20" s="21">
        <v>465</v>
      </c>
      <c r="J20" s="21">
        <f>'CF12.09'!D26/1000</f>
        <v>1005.378</v>
      </c>
      <c r="K20" s="212"/>
      <c r="L20" s="19"/>
    </row>
    <row r="21" spans="2:12" s="51" customFormat="1" ht="14.25" customHeight="1">
      <c r="B21" s="41" t="s">
        <v>240</v>
      </c>
      <c r="C21" s="24"/>
      <c r="D21" s="24"/>
      <c r="E21" s="21">
        <f>'[4]cashflow.'!$U$24</f>
        <v>-1741.777379999996</v>
      </c>
      <c r="F21" s="21"/>
      <c r="G21" s="198">
        <f>'[8]Sheet2'!$U$25</f>
        <v>-6232.5574499999875</v>
      </c>
      <c r="H21" s="21"/>
      <c r="I21" s="21">
        <v>-866</v>
      </c>
      <c r="J21" s="21">
        <f>'CF12.09'!D27/1000</f>
        <v>2638.376</v>
      </c>
      <c r="K21" s="212"/>
      <c r="L21" s="19"/>
    </row>
    <row r="22" spans="2:12" s="51" customFormat="1" ht="14.25" customHeight="1">
      <c r="B22" s="41" t="s">
        <v>250</v>
      </c>
      <c r="C22" s="24"/>
      <c r="D22" s="24"/>
      <c r="E22" s="21">
        <f>'[4]cashflow.'!$U$25</f>
        <v>-1991.7909599999984</v>
      </c>
      <c r="F22" s="21"/>
      <c r="G22" s="198">
        <f>'[8]Sheet2'!$U$26</f>
        <v>10526.804289999998</v>
      </c>
      <c r="H22" s="21"/>
      <c r="I22" s="21">
        <v>-6544</v>
      </c>
      <c r="J22" s="21">
        <f>'CF12.09'!D28/1000</f>
        <v>-3186.2</v>
      </c>
      <c r="K22" s="212"/>
      <c r="L22" s="19"/>
    </row>
    <row r="23" spans="2:12" s="51" customFormat="1" ht="14.25" customHeight="1">
      <c r="B23" s="216" t="s">
        <v>241</v>
      </c>
      <c r="C23" s="24"/>
      <c r="D23" s="24"/>
      <c r="E23" s="21">
        <f>'[4]cashflow.'!$U$26</f>
        <v>770.346</v>
      </c>
      <c r="F23" s="21"/>
      <c r="G23" s="198">
        <f>'[8]Sheet2'!$U$27</f>
        <v>33.22600000000011</v>
      </c>
      <c r="H23" s="21"/>
      <c r="I23" s="21">
        <v>6068</v>
      </c>
      <c r="J23" s="21">
        <f>'CF12.09'!D29/1000</f>
        <v>-1774.921</v>
      </c>
      <c r="K23" s="212"/>
      <c r="L23" s="19"/>
    </row>
    <row r="24" spans="2:12" s="51" customFormat="1" ht="14.25" customHeight="1">
      <c r="B24" s="41" t="s">
        <v>242</v>
      </c>
      <c r="C24" s="20"/>
      <c r="D24" s="20"/>
      <c r="E24" s="21">
        <f>'[4]cashflow.'!$U$27</f>
        <v>8.91215000000011</v>
      </c>
      <c r="F24" s="21"/>
      <c r="G24" s="198">
        <f>'[8]Sheet2'!$U$28</f>
        <v>-3656.1026299999994</v>
      </c>
      <c r="H24" s="21"/>
      <c r="I24" s="21">
        <v>-2</v>
      </c>
      <c r="J24" s="21">
        <f>'CF12.09'!D30/1000</f>
        <v>1373.389</v>
      </c>
      <c r="K24" s="212"/>
      <c r="L24" s="19"/>
    </row>
    <row r="25" spans="2:12" s="51" customFormat="1" ht="14.25" customHeight="1">
      <c r="B25" s="41" t="s">
        <v>251</v>
      </c>
      <c r="C25" s="20"/>
      <c r="D25" s="20"/>
      <c r="E25" s="21">
        <f>'[4]cashflow.'!$U$28</f>
        <v>-230.72018999999818</v>
      </c>
      <c r="F25" s="21"/>
      <c r="G25" s="198">
        <f>'[8]Sheet2'!$U$32</f>
        <v>-843.0265699999983</v>
      </c>
      <c r="H25" s="21"/>
      <c r="I25" s="21">
        <v>-2015</v>
      </c>
      <c r="J25" s="21">
        <f>'CF12.09'!D31/1000</f>
        <v>189.777</v>
      </c>
      <c r="K25" s="212"/>
      <c r="L25" s="19"/>
    </row>
    <row r="26" spans="2:12" s="51" customFormat="1" ht="14.25" customHeight="1">
      <c r="B26" s="216" t="s">
        <v>249</v>
      </c>
      <c r="C26" s="20"/>
      <c r="D26" s="20"/>
      <c r="E26" s="21"/>
      <c r="F26" s="21"/>
      <c r="G26" s="198">
        <f>'[8]Sheet2'!$U$33</f>
        <v>-3256.989</v>
      </c>
      <c r="H26" s="21"/>
      <c r="I26" s="21">
        <v>0</v>
      </c>
      <c r="J26" s="21"/>
      <c r="K26" s="212"/>
      <c r="L26" s="19"/>
    </row>
    <row r="27" spans="2:12" s="51" customFormat="1" ht="15" thickBot="1">
      <c r="B27" s="40" t="s">
        <v>252</v>
      </c>
      <c r="C27" s="20"/>
      <c r="D27" s="20"/>
      <c r="E27" s="22">
        <f>'[4]cashflow.'!$U$29</f>
        <v>-780.1700500000002</v>
      </c>
      <c r="F27" s="28"/>
      <c r="G27" s="201">
        <f>'[8]Sheet2'!$U$34</f>
        <v>-1231.77698</v>
      </c>
      <c r="H27" s="28"/>
      <c r="I27" s="22">
        <v>457</v>
      </c>
      <c r="J27" s="22">
        <f>'CF12.09'!D32/1000</f>
        <v>-271.731</v>
      </c>
      <c r="K27" s="212"/>
      <c r="L27" s="19"/>
    </row>
    <row r="28" spans="2:12" s="51" customFormat="1" ht="14.25">
      <c r="B28" s="217"/>
      <c r="C28" s="24"/>
      <c r="D28" s="24"/>
      <c r="E28" s="21"/>
      <c r="F28" s="21"/>
      <c r="G28" s="198"/>
      <c r="H28" s="21"/>
      <c r="I28" s="21"/>
      <c r="J28" s="21"/>
      <c r="K28" s="212"/>
      <c r="L28" s="19"/>
    </row>
    <row r="29" spans="2:12" s="51" customFormat="1" ht="14.25" customHeight="1">
      <c r="B29" s="215" t="s">
        <v>105</v>
      </c>
      <c r="C29" s="20"/>
      <c r="D29" s="20"/>
      <c r="E29" s="49">
        <f>'[4]cashflow.'!$U$32</f>
        <v>254.40860000000794</v>
      </c>
      <c r="F29" s="49"/>
      <c r="G29" s="200">
        <f>'[8]Sheet2'!$U$39</f>
        <v>2203.6559400000133</v>
      </c>
      <c r="H29" s="21"/>
      <c r="I29" s="49">
        <f>SUM(I17:I27)</f>
        <v>9593</v>
      </c>
      <c r="J29" s="49">
        <f>'CF12.09'!D34/1000</f>
        <v>14657.121</v>
      </c>
      <c r="K29" s="212"/>
      <c r="L29" s="19"/>
    </row>
    <row r="30" spans="2:12" s="51" customFormat="1" ht="14.25">
      <c r="B30" s="217"/>
      <c r="C30" s="24"/>
      <c r="D30" s="24"/>
      <c r="E30" s="21"/>
      <c r="F30" s="21"/>
      <c r="G30" s="198"/>
      <c r="H30" s="21"/>
      <c r="I30" s="21"/>
      <c r="J30" s="21"/>
      <c r="K30" s="212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198">
        <f>'[8]Sheet2'!$U$41+'[8]Sheet2'!$U$42</f>
        <v>-998.94391</v>
      </c>
      <c r="H31" s="21"/>
      <c r="I31" s="21">
        <v>-996</v>
      </c>
      <c r="J31" s="21">
        <f>'CF12.09'!D36/1000</f>
        <v>-134.101</v>
      </c>
      <c r="K31" s="212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198">
        <f>'[8]Sheet2'!$U$43</f>
        <v>-1791.665</v>
      </c>
      <c r="H32" s="28"/>
      <c r="I32" s="28">
        <v>-1664</v>
      </c>
      <c r="J32" s="21">
        <f>'CF12.09'!D37/1000</f>
        <v>-3491.456</v>
      </c>
      <c r="K32" s="212"/>
      <c r="L32" s="19"/>
    </row>
    <row r="33" spans="2:12" s="51" customFormat="1" ht="15" thickBot="1">
      <c r="B33" s="45"/>
      <c r="C33" s="18"/>
      <c r="D33" s="18"/>
      <c r="E33" s="22"/>
      <c r="F33" s="28"/>
      <c r="G33" s="201"/>
      <c r="H33" s="21"/>
      <c r="I33" s="22"/>
      <c r="J33" s="22"/>
      <c r="K33" s="212"/>
      <c r="L33" s="19"/>
    </row>
    <row r="34" spans="2:12" s="51" customFormat="1" ht="15.75" thickBot="1">
      <c r="B34" s="218" t="s">
        <v>44</v>
      </c>
      <c r="C34" s="18"/>
      <c r="D34" s="18"/>
      <c r="E34" s="50">
        <f>'[4]cashflow.'!$U$37</f>
        <v>-620.5913999999921</v>
      </c>
      <c r="F34" s="112"/>
      <c r="G34" s="202">
        <f>SUM(G29:G33)</f>
        <v>-586.9529699999866</v>
      </c>
      <c r="H34" s="28"/>
      <c r="I34" s="50">
        <f>SUM(I29:I33)</f>
        <v>6933</v>
      </c>
      <c r="J34" s="160">
        <f>'CF12.09'!D39/1000</f>
        <v>11031.564</v>
      </c>
      <c r="K34" s="212"/>
      <c r="L34" s="19"/>
    </row>
    <row r="35" spans="2:12" s="51" customFormat="1" ht="14.25">
      <c r="B35" s="45"/>
      <c r="C35" s="18"/>
      <c r="D35" s="18"/>
      <c r="E35" s="102"/>
      <c r="F35" s="102"/>
      <c r="G35" s="203"/>
      <c r="H35" s="102"/>
      <c r="I35" s="102"/>
      <c r="J35" s="102"/>
      <c r="K35" s="212"/>
      <c r="L35" s="19"/>
    </row>
    <row r="36" spans="2:12" s="51" customFormat="1" ht="14.25">
      <c r="B36" s="45"/>
      <c r="C36" s="19"/>
      <c r="D36" s="19"/>
      <c r="E36" s="21"/>
      <c r="F36" s="21"/>
      <c r="G36" s="198"/>
      <c r="H36" s="21"/>
      <c r="I36" s="21"/>
      <c r="J36" s="21"/>
      <c r="K36" s="212"/>
      <c r="L36" s="19"/>
    </row>
    <row r="37" spans="2:12" s="51" customFormat="1" ht="15" customHeight="1">
      <c r="B37" s="218" t="s">
        <v>71</v>
      </c>
      <c r="C37" s="25"/>
      <c r="D37" s="25"/>
      <c r="E37" s="21"/>
      <c r="F37" s="21"/>
      <c r="G37" s="198"/>
      <c r="H37" s="21"/>
      <c r="I37" s="21"/>
      <c r="J37" s="21"/>
      <c r="K37" s="213"/>
      <c r="L37" s="19"/>
    </row>
    <row r="38" spans="2:12" s="51" customFormat="1" ht="14.25">
      <c r="B38" s="42" t="s">
        <v>72</v>
      </c>
      <c r="C38" s="18"/>
      <c r="D38" s="18"/>
      <c r="E38" s="21">
        <f>'[4]cashflow.'!$U$41+'[4]cashflow.'!$U$42</f>
        <v>146</v>
      </c>
      <c r="F38" s="21"/>
      <c r="G38" s="198">
        <f>'[8]Sheet2'!$U$49+272</f>
        <v>397.42011</v>
      </c>
      <c r="H38" s="21"/>
      <c r="I38" s="21">
        <v>421</v>
      </c>
      <c r="J38" s="21">
        <f>'CF12.09'!D45/1000+'CF12.09'!D44/1000</f>
        <v>419.404</v>
      </c>
      <c r="K38" s="212"/>
      <c r="L38" s="19"/>
    </row>
    <row r="39" spans="2:12" s="51" customFormat="1" ht="14.25">
      <c r="B39" s="42" t="s">
        <v>90</v>
      </c>
      <c r="C39" s="19"/>
      <c r="D39" s="19"/>
      <c r="E39" s="21">
        <v>0</v>
      </c>
      <c r="F39" s="21"/>
      <c r="G39" s="198">
        <f>'[8]Sheet2'!$U$53</f>
        <v>-325.42025999999976</v>
      </c>
      <c r="H39" s="21"/>
      <c r="I39" s="21">
        <v>0</v>
      </c>
      <c r="J39" s="21">
        <f>'CF12.09'!D46/1000</f>
        <v>-500.682</v>
      </c>
      <c r="K39" s="212"/>
      <c r="L39" s="19"/>
    </row>
    <row r="40" spans="2:12" s="51" customFormat="1" ht="14.25">
      <c r="B40" s="42" t="s">
        <v>73</v>
      </c>
      <c r="C40" s="19"/>
      <c r="D40" s="19"/>
      <c r="E40" s="21">
        <f>'[4]cashflow.'!$U$45</f>
        <v>-1142</v>
      </c>
      <c r="F40" s="21"/>
      <c r="G40" s="198">
        <f>'[8]Sheet2'!$U$54</f>
        <v>-13678.43238</v>
      </c>
      <c r="H40" s="21"/>
      <c r="I40" s="21">
        <v>-2720</v>
      </c>
      <c r="J40" s="21">
        <f>'CF12.09'!D47/1000</f>
        <v>-11636.454</v>
      </c>
      <c r="K40" s="212"/>
      <c r="L40" s="19"/>
    </row>
    <row r="41" spans="2:12" s="51" customFormat="1" ht="15" thickBot="1">
      <c r="B41" s="45"/>
      <c r="C41" s="19"/>
      <c r="D41" s="19"/>
      <c r="E41" s="22"/>
      <c r="F41" s="28"/>
      <c r="G41" s="201"/>
      <c r="H41" s="28"/>
      <c r="I41" s="22"/>
      <c r="J41" s="22"/>
      <c r="K41" s="212"/>
      <c r="L41" s="19"/>
    </row>
    <row r="42" spans="2:13" s="51" customFormat="1" ht="15.75" thickBot="1">
      <c r="B42" s="45" t="s">
        <v>134</v>
      </c>
      <c r="C42" s="18"/>
      <c r="D42" s="18"/>
      <c r="E42" s="50">
        <f>'[4]cashflow.'!$U$48</f>
        <v>-996</v>
      </c>
      <c r="F42" s="112"/>
      <c r="G42" s="202">
        <f>SUM(G38:G41)</f>
        <v>-13606.43253</v>
      </c>
      <c r="H42" s="28"/>
      <c r="I42" s="50">
        <f>SUM(I38:I41)</f>
        <v>-2299</v>
      </c>
      <c r="J42" s="50">
        <f>'CF12.09'!D49/1000</f>
        <v>3761.747</v>
      </c>
      <c r="K42" s="212"/>
      <c r="L42" s="19"/>
      <c r="M42" s="103"/>
    </row>
    <row r="43" spans="2:12" s="51" customFormat="1" ht="14.25">
      <c r="B43" s="217"/>
      <c r="C43" s="19"/>
      <c r="D43" s="19"/>
      <c r="E43" s="21"/>
      <c r="F43" s="21"/>
      <c r="G43" s="198"/>
      <c r="H43" s="21"/>
      <c r="I43" s="21"/>
      <c r="J43" s="21"/>
      <c r="K43" s="212"/>
      <c r="L43" s="19"/>
    </row>
    <row r="44" spans="2:12" s="51" customFormat="1" ht="15" customHeight="1">
      <c r="B44" s="218" t="s">
        <v>75</v>
      </c>
      <c r="C44" s="25"/>
      <c r="D44" s="25"/>
      <c r="E44" s="21"/>
      <c r="F44" s="21"/>
      <c r="G44" s="198"/>
      <c r="H44" s="21"/>
      <c r="I44" s="21"/>
      <c r="J44" s="21"/>
      <c r="K44" s="214"/>
      <c r="L44" s="18"/>
    </row>
    <row r="45" spans="2:12" s="51" customFormat="1" ht="14.25" customHeight="1" hidden="1">
      <c r="B45" s="216" t="s">
        <v>193</v>
      </c>
      <c r="C45" s="18"/>
      <c r="D45" s="18"/>
      <c r="E45" s="21">
        <v>0</v>
      </c>
      <c r="F45" s="21"/>
      <c r="G45" s="198">
        <v>0</v>
      </c>
      <c r="H45" s="21"/>
      <c r="I45" s="21">
        <v>0</v>
      </c>
      <c r="J45" s="21">
        <f>'CF12.09'!D53/1000</f>
        <v>13320</v>
      </c>
      <c r="K45" s="212"/>
      <c r="L45" s="19"/>
    </row>
    <row r="46" spans="2:12" s="51" customFormat="1" ht="14.25" customHeight="1" hidden="1">
      <c r="B46" s="216" t="s">
        <v>194</v>
      </c>
      <c r="C46" s="18"/>
      <c r="D46" s="18"/>
      <c r="E46" s="21">
        <f>'[4]cashflow.'!$U$55</f>
        <v>-161.806</v>
      </c>
      <c r="F46" s="21"/>
      <c r="G46" s="198">
        <v>0</v>
      </c>
      <c r="H46" s="21"/>
      <c r="I46" s="21">
        <v>0</v>
      </c>
      <c r="J46" s="21">
        <f>'CF12.09'!D54/1000</f>
        <v>1785.884</v>
      </c>
      <c r="K46" s="212"/>
      <c r="L46" s="19"/>
    </row>
    <row r="47" spans="2:12" s="51" customFormat="1" ht="14.25" customHeight="1">
      <c r="B47" s="216" t="s">
        <v>76</v>
      </c>
      <c r="C47" s="18"/>
      <c r="D47" s="18"/>
      <c r="E47" s="21">
        <f>'[4]cashflow.'!$U$52</f>
        <v>-6</v>
      </c>
      <c r="F47" s="21"/>
      <c r="G47" s="198">
        <f>'[8]Sheet2'!$U$61</f>
        <v>-8.64101</v>
      </c>
      <c r="H47" s="21"/>
      <c r="I47" s="21">
        <v>-11</v>
      </c>
      <c r="J47" s="21">
        <f>'CF12.09'!D55/1000</f>
        <v>-9.886</v>
      </c>
      <c r="K47" s="212"/>
      <c r="L47" s="19"/>
    </row>
    <row r="48" spans="2:12" s="51" customFormat="1" ht="14.25" customHeight="1">
      <c r="B48" s="216" t="s">
        <v>195</v>
      </c>
      <c r="C48" s="18"/>
      <c r="D48" s="18"/>
      <c r="E48" s="21">
        <f>'[4]cashflow.'!$U$53</f>
        <v>-15</v>
      </c>
      <c r="F48" s="21"/>
      <c r="G48" s="198">
        <f>'[8]Sheet2'!$U$62</f>
        <v>-577.21777</v>
      </c>
      <c r="H48" s="21"/>
      <c r="I48" s="21">
        <v>-21</v>
      </c>
      <c r="J48" s="21">
        <f>'CF12.09'!D56/1000</f>
        <v>-26.016</v>
      </c>
      <c r="K48" s="212"/>
      <c r="L48" s="19"/>
    </row>
    <row r="49" spans="2:12" s="51" customFormat="1" ht="14.25" customHeight="1">
      <c r="B49" s="216" t="s">
        <v>77</v>
      </c>
      <c r="C49" s="18"/>
      <c r="D49" s="18"/>
      <c r="E49" s="21">
        <f>'[4]cashflow.'!$U$54</f>
        <v>-440</v>
      </c>
      <c r="F49" s="21"/>
      <c r="G49" s="198">
        <f>'[8]Sheet2'!$U$63</f>
        <v>-49.67727000000002</v>
      </c>
      <c r="H49" s="21"/>
      <c r="I49" s="21">
        <v>-67</v>
      </c>
      <c r="J49" s="21">
        <f>'CF12.09'!D57/1000</f>
        <v>-63.273</v>
      </c>
      <c r="K49" s="212"/>
      <c r="L49" s="19"/>
    </row>
    <row r="50" spans="2:12" s="51" customFormat="1" ht="14.25" customHeight="1">
      <c r="B50" s="216" t="s">
        <v>196</v>
      </c>
      <c r="C50" s="18"/>
      <c r="D50" s="18"/>
      <c r="E50" s="21">
        <v>0</v>
      </c>
      <c r="F50" s="21"/>
      <c r="G50" s="204">
        <f>'[8]Sheet2'!$U$69</f>
        <v>0</v>
      </c>
      <c r="H50" s="28"/>
      <c r="I50" s="28">
        <v>-903</v>
      </c>
      <c r="J50" s="21">
        <f>'CF12.09'!D58/1000</f>
        <v>-666.77</v>
      </c>
      <c r="K50" s="212"/>
      <c r="L50" s="19"/>
    </row>
    <row r="51" spans="2:12" s="51" customFormat="1" ht="14.25" customHeight="1">
      <c r="B51" s="216" t="s">
        <v>253</v>
      </c>
      <c r="C51" s="18"/>
      <c r="D51" s="18"/>
      <c r="E51" s="21"/>
      <c r="F51" s="21"/>
      <c r="G51" s="198">
        <v>31200</v>
      </c>
      <c r="H51" s="28"/>
      <c r="I51" s="28">
        <v>0</v>
      </c>
      <c r="J51" s="21"/>
      <c r="K51" s="212"/>
      <c r="L51" s="19"/>
    </row>
    <row r="52" spans="2:12" s="51" customFormat="1" ht="14.25" customHeight="1">
      <c r="B52" s="216" t="s">
        <v>235</v>
      </c>
      <c r="C52" s="18"/>
      <c r="D52" s="18"/>
      <c r="E52" s="21">
        <f>'[4]cashflow.'!$U$51</f>
        <v>-1007.242</v>
      </c>
      <c r="F52" s="21"/>
      <c r="G52" s="198">
        <f>'[8]Sheet2'!$U$60</f>
        <v>2311</v>
      </c>
      <c r="H52" s="28"/>
      <c r="I52" s="28">
        <v>1710</v>
      </c>
      <c r="J52" s="21">
        <f>'CF12.09'!D60/1000</f>
        <v>-2812.839</v>
      </c>
      <c r="K52" s="212"/>
      <c r="L52" s="19"/>
    </row>
    <row r="53" spans="2:12" s="51" customFormat="1" ht="14.25" customHeight="1">
      <c r="B53" s="216" t="s">
        <v>236</v>
      </c>
      <c r="C53" s="18"/>
      <c r="D53" s="18"/>
      <c r="E53" s="21"/>
      <c r="F53" s="21"/>
      <c r="G53" s="198">
        <f>'[8]Sheet2'!$U$64</f>
        <v>-2699.156690000001</v>
      </c>
      <c r="H53" s="28"/>
      <c r="I53" s="28">
        <v>-273</v>
      </c>
      <c r="J53" s="21"/>
      <c r="K53" s="212"/>
      <c r="L53" s="19"/>
    </row>
    <row r="54" spans="2:12" s="51" customFormat="1" ht="14.25" customHeight="1">
      <c r="B54" s="216" t="s">
        <v>266</v>
      </c>
      <c r="C54" s="18"/>
      <c r="D54" s="18"/>
      <c r="E54" s="21"/>
      <c r="F54" s="21"/>
      <c r="G54" s="198">
        <v>0</v>
      </c>
      <c r="H54" s="28"/>
      <c r="I54" s="28">
        <v>-5000</v>
      </c>
      <c r="J54" s="21"/>
      <c r="K54" s="212"/>
      <c r="L54" s="19"/>
    </row>
    <row r="55" spans="2:12" s="51" customFormat="1" ht="14.25" customHeight="1" thickBot="1">
      <c r="B55" s="216" t="s">
        <v>229</v>
      </c>
      <c r="C55" s="18"/>
      <c r="D55" s="18"/>
      <c r="E55" s="22"/>
      <c r="F55" s="28"/>
      <c r="G55" s="201">
        <f>'[6]Sheet2'!$U$67</f>
        <v>0</v>
      </c>
      <c r="H55" s="28"/>
      <c r="I55" s="22">
        <v>0</v>
      </c>
      <c r="J55" s="22"/>
      <c r="K55" s="212"/>
      <c r="L55" s="19"/>
    </row>
    <row r="56" spans="2:12" s="51" customFormat="1" ht="18" customHeight="1" thickBot="1">
      <c r="B56" s="219"/>
      <c r="C56" s="20"/>
      <c r="D56" s="20"/>
      <c r="E56" s="53">
        <f>'[4]cashflow.'!$U$63</f>
        <v>-1267.048</v>
      </c>
      <c r="F56" s="174"/>
      <c r="G56" s="205">
        <f>SUM(G45:G55)</f>
        <v>30176.307260000005</v>
      </c>
      <c r="H56" s="28"/>
      <c r="I56" s="50">
        <f>SUM(I45:I55)</f>
        <v>-4565</v>
      </c>
      <c r="J56" s="50">
        <f>'CF12.09'!D63/1000</f>
        <v>4006.676</v>
      </c>
      <c r="K56" s="212"/>
      <c r="L56" s="19"/>
    </row>
    <row r="57" spans="2:12" s="51" customFormat="1" ht="14.25">
      <c r="B57" s="45"/>
      <c r="C57" s="18"/>
      <c r="D57" s="18"/>
      <c r="E57" s="102"/>
      <c r="F57" s="102"/>
      <c r="G57" s="203"/>
      <c r="H57" s="28"/>
      <c r="I57" s="28"/>
      <c r="J57" s="102"/>
      <c r="K57" s="212"/>
      <c r="L57" s="19"/>
    </row>
    <row r="58" spans="2:12" s="51" customFormat="1" ht="14.25" customHeight="1">
      <c r="B58" s="218" t="s">
        <v>145</v>
      </c>
      <c r="C58" s="18"/>
      <c r="D58" s="18"/>
      <c r="E58" s="21">
        <f>'[4]cashflow.'!$U$65</f>
        <v>-2883.639399999992</v>
      </c>
      <c r="F58" s="21"/>
      <c r="G58" s="198">
        <f>G34+G42+G56</f>
        <v>15982.92176000002</v>
      </c>
      <c r="H58" s="28"/>
      <c r="I58" s="28">
        <f>I34+I42+I56</f>
        <v>69</v>
      </c>
      <c r="J58" s="21">
        <f>'CF12.09'!D65/1000</f>
        <v>18799.987</v>
      </c>
      <c r="K58" s="28"/>
      <c r="L58" s="19"/>
    </row>
    <row r="59" spans="2:12" s="51" customFormat="1" ht="14.25">
      <c r="B59" s="216"/>
      <c r="C59" s="19"/>
      <c r="D59" s="19"/>
      <c r="E59" s="21"/>
      <c r="F59" s="21"/>
      <c r="G59" s="198"/>
      <c r="H59" s="28"/>
      <c r="I59" s="28"/>
      <c r="J59" s="21"/>
      <c r="K59" s="212"/>
      <c r="L59" s="19"/>
    </row>
    <row r="60" spans="2:12" s="51" customFormat="1" ht="14.25" customHeight="1" thickBot="1">
      <c r="B60" s="243" t="s">
        <v>100</v>
      </c>
      <c r="C60" s="20"/>
      <c r="D60" s="20"/>
      <c r="E60" s="22">
        <f>'[4]cashflow.'!$U$67</f>
        <v>18800</v>
      </c>
      <c r="F60" s="28"/>
      <c r="G60" s="201">
        <f>'[6]Sheet2'!$U$76</f>
        <v>20570.722</v>
      </c>
      <c r="H60" s="28"/>
      <c r="I60" s="22">
        <v>18800</v>
      </c>
      <c r="J60" s="22">
        <f>'CF12.09'!D68/1000</f>
        <v>0.002</v>
      </c>
      <c r="K60" s="212"/>
      <c r="L60" s="19"/>
    </row>
    <row r="61" spans="2:12" s="51" customFormat="1" ht="14.25">
      <c r="B61" s="243"/>
      <c r="C61" s="20"/>
      <c r="D61" s="20"/>
      <c r="E61" s="102"/>
      <c r="F61" s="102"/>
      <c r="G61" s="203"/>
      <c r="H61" s="28"/>
      <c r="I61" s="28"/>
      <c r="J61" s="102"/>
      <c r="K61" s="212"/>
      <c r="L61" s="19"/>
    </row>
    <row r="62" spans="2:12" s="51" customFormat="1" ht="15.75" thickBot="1">
      <c r="B62" s="243" t="s">
        <v>135</v>
      </c>
      <c r="C62" s="20"/>
      <c r="D62" s="19"/>
      <c r="E62" s="111">
        <f>'[4]cashflow.'!$U$69</f>
        <v>15916.360600000007</v>
      </c>
      <c r="F62" s="112"/>
      <c r="G62" s="206">
        <f>SUM(G58:G60)</f>
        <v>36553.64376000002</v>
      </c>
      <c r="H62" s="112"/>
      <c r="I62" s="111">
        <f>SUM(I58:I60)</f>
        <v>18869</v>
      </c>
      <c r="J62" s="111">
        <f>'CF12.09'!D70/1000</f>
        <v>18799.989</v>
      </c>
      <c r="K62" s="212"/>
      <c r="L62" s="19"/>
    </row>
    <row r="63" spans="2:11" s="51" customFormat="1" ht="15" thickTop="1">
      <c r="B63" s="243"/>
      <c r="G63" s="192"/>
      <c r="H63" s="28"/>
      <c r="I63" s="28"/>
      <c r="K63" s="186"/>
    </row>
    <row r="64" spans="2:11" s="51" customFormat="1" ht="14.25">
      <c r="B64" s="12"/>
      <c r="G64" s="192"/>
      <c r="H64" s="28"/>
      <c r="I64" s="28"/>
      <c r="K64" s="186"/>
    </row>
    <row r="65" spans="2:11" s="51" customFormat="1" ht="14.25">
      <c r="B65" s="2" t="s">
        <v>96</v>
      </c>
      <c r="G65" s="192"/>
      <c r="H65" s="28"/>
      <c r="I65" s="28"/>
      <c r="K65" s="186"/>
    </row>
    <row r="66" spans="2:11" s="51" customFormat="1" ht="14.25">
      <c r="B66" s="12" t="s">
        <v>81</v>
      </c>
      <c r="E66" s="102">
        <f>'[4]cashflow.'!$N$75</f>
        <v>29350</v>
      </c>
      <c r="F66" s="102"/>
      <c r="G66" s="203">
        <f>'[8]Sheet2'!$U$83+'[8]Sheet2'!$U$84</f>
        <v>35277.335</v>
      </c>
      <c r="H66" s="28"/>
      <c r="I66" s="28">
        <v>25390</v>
      </c>
      <c r="J66" s="21">
        <f>'CF12.09'!D83/1000+'CF12.09'!D85/1000</f>
        <v>28249.176</v>
      </c>
      <c r="K66" s="186"/>
    </row>
    <row r="67" spans="2:11" s="51" customFormat="1" ht="14.25">
      <c r="B67" s="12" t="s">
        <v>82</v>
      </c>
      <c r="E67" s="102">
        <f>'[4]cashflow.'!$N$76</f>
        <v>3944</v>
      </c>
      <c r="F67" s="102"/>
      <c r="G67" s="203">
        <f>'[8]Sheet2'!$U$85-1</f>
        <v>16963.58162</v>
      </c>
      <c r="H67" s="28"/>
      <c r="I67" s="28">
        <v>9894</v>
      </c>
      <c r="J67" s="21">
        <f>'CF12.09'!D86/1000</f>
        <v>3199.333</v>
      </c>
      <c r="K67" s="186"/>
    </row>
    <row r="68" spans="2:11" s="51" customFormat="1" ht="15" thickBot="1">
      <c r="B68" s="12" t="s">
        <v>83</v>
      </c>
      <c r="E68" s="123">
        <f>'[4]cashflow.'!$N$77</f>
        <v>-8541</v>
      </c>
      <c r="F68" s="175"/>
      <c r="G68" s="207">
        <f>'[8]Sheet2'!$U$86</f>
        <v>-3555.0910299999996</v>
      </c>
      <c r="I68" s="185">
        <v>-6933</v>
      </c>
      <c r="J68" s="22">
        <f>'CF12.09'!D87/1000</f>
        <v>-3959.186</v>
      </c>
      <c r="K68" s="186"/>
    </row>
    <row r="69" spans="2:11" s="51" customFormat="1" ht="14.25">
      <c r="B69" s="12"/>
      <c r="E69" s="102">
        <f>'[4]cashflow.'!$N$78</f>
        <v>24753</v>
      </c>
      <c r="F69" s="102"/>
      <c r="G69" s="203">
        <f>SUM(G66:G68)</f>
        <v>48685.82559000001</v>
      </c>
      <c r="I69" s="102">
        <f>SUM(I66:I68)</f>
        <v>28351</v>
      </c>
      <c r="J69" s="21">
        <f>'CF12.09'!D89/1000</f>
        <v>27489.323</v>
      </c>
      <c r="K69" s="186"/>
    </row>
    <row r="70" spans="2:11" s="51" customFormat="1" ht="14.25">
      <c r="B70" s="43" t="s">
        <v>138</v>
      </c>
      <c r="C70" s="104"/>
      <c r="E70" s="102">
        <f>'[4]cashflow.'!$N$79</f>
        <v>-8843</v>
      </c>
      <c r="F70" s="102"/>
      <c r="G70" s="203">
        <f>'[8]Sheet2'!$U$88</f>
        <v>-12132.335</v>
      </c>
      <c r="I70" s="186">
        <v>-9482</v>
      </c>
      <c r="J70" s="21">
        <f>'CF12.09'!D91/1000</f>
        <v>-8689.334</v>
      </c>
      <c r="K70" s="186"/>
    </row>
    <row r="71" spans="2:11" s="51" customFormat="1" ht="15.75" thickBot="1">
      <c r="B71" s="12"/>
      <c r="E71" s="113">
        <f>'[4]cashflow.'!$N$80</f>
        <v>15910</v>
      </c>
      <c r="F71" s="176"/>
      <c r="G71" s="208">
        <f>SUM(G69:G70)+1</f>
        <v>36554.49059000001</v>
      </c>
      <c r="H71" s="112"/>
      <c r="I71" s="184">
        <f>SUM(I69:I70)</f>
        <v>18869</v>
      </c>
      <c r="J71" s="170">
        <f>'CF12.09'!D93/1000</f>
        <v>18799.989</v>
      </c>
      <c r="K71" s="186"/>
    </row>
    <row r="72" spans="7:11" s="51" customFormat="1" ht="15" thickTop="1">
      <c r="G72" s="211"/>
      <c r="H72" s="28"/>
      <c r="I72" s="28"/>
      <c r="K72" s="186"/>
    </row>
    <row r="73" spans="2:9" s="51" customFormat="1" ht="14.25" hidden="1">
      <c r="B73" s="51" t="s">
        <v>124</v>
      </c>
      <c r="E73" s="103"/>
      <c r="F73" s="103"/>
      <c r="G73" s="209"/>
      <c r="H73" s="28"/>
      <c r="I73" s="28"/>
    </row>
    <row r="74" s="51" customFormat="1" ht="12.75" customHeight="1">
      <c r="G74" s="192"/>
    </row>
    <row r="75" spans="2:7" s="51" customFormat="1" ht="16.5">
      <c r="B75" s="124" t="s">
        <v>228</v>
      </c>
      <c r="G75" s="192"/>
    </row>
    <row r="76" spans="2:7" s="51" customFormat="1" ht="16.5">
      <c r="B76" s="124" t="s">
        <v>248</v>
      </c>
      <c r="G76" s="192"/>
    </row>
    <row r="77" spans="2:7" s="51" customFormat="1" ht="16.5">
      <c r="B77" s="183" t="s">
        <v>99</v>
      </c>
      <c r="G77" s="192"/>
    </row>
  </sheetData>
  <sheetProtection/>
  <mergeCells count="6">
    <mergeCell ref="B60:B61"/>
    <mergeCell ref="B62:B63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2011-08-22T03:31:49Z</cp:lastPrinted>
  <dcterms:created xsi:type="dcterms:W3CDTF">2002-11-05T00:02:16Z</dcterms:created>
  <dcterms:modified xsi:type="dcterms:W3CDTF">2011-08-22T06:17:18Z</dcterms:modified>
  <cp:category/>
  <cp:version/>
  <cp:contentType/>
  <cp:contentStatus/>
</cp:coreProperties>
</file>